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P&amp;L" sheetId="1" r:id="rId1"/>
    <sheet name="BS" sheetId="2" r:id="rId2"/>
    <sheet name="CF" sheetId="3" r:id="rId3"/>
    <sheet name="EQY" sheetId="4" r:id="rId4"/>
    <sheet name="G&amp;L" sheetId="5" state="hidden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'BS'!$A$1:$E$55</definedName>
    <definedName name="_xlnm.Print_Area" localSheetId="2">'CF'!$A$1:$N$85</definedName>
    <definedName name="_xlnm.Print_Area" localSheetId="3">'EQY'!$A$1:$S$39</definedName>
    <definedName name="_xlnm.Print_Area" localSheetId="4">'G&amp;L'!$A$1:$D$57</definedName>
    <definedName name="_xlnm.Print_Area" localSheetId="0">'P&amp;L'!$A$1:$H$56</definedName>
    <definedName name="_xlnm.Print_Titles" localSheetId="2">'CF'!$1:$7</definedName>
  </definedNames>
  <calcPr fullCalcOnLoad="1"/>
</workbook>
</file>

<file path=xl/sharedStrings.xml><?xml version="1.0" encoding="utf-8"?>
<sst xmlns="http://schemas.openxmlformats.org/spreadsheetml/2006/main" count="211" uniqueCount="164">
  <si>
    <t xml:space="preserve"> </t>
  </si>
  <si>
    <t>CURRENT YEAR</t>
  </si>
  <si>
    <t>PRECEDING YEAR</t>
  </si>
  <si>
    <t>QUARTER</t>
  </si>
  <si>
    <t>CORRESPONDING</t>
  </si>
  <si>
    <t>TO DATE</t>
  </si>
  <si>
    <t>PERIOD</t>
  </si>
  <si>
    <t>Revenue</t>
  </si>
  <si>
    <t>Taxation</t>
  </si>
  <si>
    <t>MAGNA PRIMA BERHAD</t>
  </si>
  <si>
    <t>CURRENT ASSETS</t>
  </si>
  <si>
    <t>CURRENT LIABILITIES</t>
  </si>
  <si>
    <t>SHARE CAPITAL</t>
  </si>
  <si>
    <t>RESERVES</t>
  </si>
  <si>
    <t>Share Premium</t>
  </si>
  <si>
    <t>Retained Profit</t>
  </si>
  <si>
    <t>Reserves</t>
  </si>
  <si>
    <t>LONG TERM BORROWINGS</t>
  </si>
  <si>
    <t>Bank Borrowings</t>
  </si>
  <si>
    <t>PROPERTY, PLANT AND EQUIPMENT</t>
  </si>
  <si>
    <t>Gross amount due from customers for contract work</t>
  </si>
  <si>
    <t>Deposits, Cash &amp; Bank Balances</t>
  </si>
  <si>
    <t>HIRE PURCHASE CREDITORS</t>
  </si>
  <si>
    <t>Inventories</t>
  </si>
  <si>
    <t xml:space="preserve">Development properties </t>
  </si>
  <si>
    <t>FOR THE QUARTER ENDED 30 SEPT 2002</t>
  </si>
  <si>
    <t>RM</t>
  </si>
  <si>
    <t>Cost of Sales</t>
  </si>
  <si>
    <t>Other Operating Income</t>
  </si>
  <si>
    <t>Finance Costs</t>
  </si>
  <si>
    <t xml:space="preserve">Taxation </t>
  </si>
  <si>
    <t>Minority Interests</t>
  </si>
  <si>
    <t>Share of Results of Joint Venture Entities</t>
  </si>
  <si>
    <t>As At</t>
  </si>
  <si>
    <t xml:space="preserve">As At </t>
  </si>
  <si>
    <t>Total</t>
  </si>
  <si>
    <t>CONDENSED CONSOLIDATED STATEMENT OF RECOGNISED GAINS AND LOSSES</t>
  </si>
  <si>
    <t xml:space="preserve">9 month cumulative </t>
  </si>
  <si>
    <t>to date</t>
  </si>
  <si>
    <t>Surplus / (deficit) on revaluation</t>
  </si>
  <si>
    <t>Others</t>
  </si>
  <si>
    <t>Net gains (losses) not recognised in the income statement</t>
  </si>
  <si>
    <t>Net profit (Cumulative)</t>
  </si>
  <si>
    <t>Total recognised gains and losses</t>
  </si>
  <si>
    <t>RM'000</t>
  </si>
  <si>
    <t>Operating expenses</t>
  </si>
  <si>
    <t>Annual Financial Report for the year ended 31st December 2001)</t>
  </si>
  <si>
    <t>(The Condensed Consolidated Statement of Recognised Gains and Losses should be read in conjuction with the</t>
  </si>
  <si>
    <t xml:space="preserve">         Basic (sen)</t>
  </si>
  <si>
    <t>NET CURRENT ASSETS</t>
  </si>
  <si>
    <t>Share</t>
  </si>
  <si>
    <t>Capital</t>
  </si>
  <si>
    <t>Retained</t>
  </si>
  <si>
    <t>Premium</t>
  </si>
  <si>
    <t>Reserve</t>
  </si>
  <si>
    <t>Profit</t>
  </si>
  <si>
    <t>Amount credited to income statement</t>
  </si>
  <si>
    <t>Net profit for the period</t>
  </si>
  <si>
    <t>Share issue expenses</t>
  </si>
  <si>
    <t>CASH FLOWS FROM OPERATING ACTIVITIES</t>
  </si>
  <si>
    <t>Interest income</t>
  </si>
  <si>
    <t>Interest received</t>
  </si>
  <si>
    <t>Interest paid</t>
  </si>
  <si>
    <t>CASH FLOWS FROM INVESTING ACTIVITIES</t>
  </si>
  <si>
    <t>Purchase of property, plant and equipment</t>
  </si>
  <si>
    <t>CASH FLOWS FROM FINANCING ACTIVITIES</t>
  </si>
  <si>
    <t>Development properties and real property assets</t>
  </si>
  <si>
    <t>Amount owing to directors</t>
  </si>
  <si>
    <t>CONSOLIDATED CASH FLOW STATEMENT</t>
  </si>
  <si>
    <t xml:space="preserve">CONSOLIDATED INCOME STATEMENTS </t>
  </si>
  <si>
    <t xml:space="preserve">New shares issued </t>
  </si>
  <si>
    <t xml:space="preserve">CONSOLIDATED STATEMENTS OF CHANGES IN EQUITY </t>
  </si>
  <si>
    <t>CONSOLIDATED BALANCE SHEETS</t>
  </si>
  <si>
    <t>DEFERRED TAXATION</t>
  </si>
  <si>
    <t>GOODWILL ON CONSOLIDATION</t>
  </si>
  <si>
    <t>Bad debts written off</t>
  </si>
  <si>
    <t>The condensed Consolidated Income Statements should be read in conjunction with the audited financial statements for</t>
  </si>
  <si>
    <t>Adjustment for :-</t>
  </si>
  <si>
    <t>Depreciation of property, plant and equipment</t>
  </si>
  <si>
    <t>Gain on disposal of property, plant and equipment</t>
  </si>
  <si>
    <t>Interest expenses</t>
  </si>
  <si>
    <t>Write back of provision for expenses no longer required</t>
  </si>
  <si>
    <t>Amount owing by customers on contract</t>
  </si>
  <si>
    <t>Trade and others receivables</t>
  </si>
  <si>
    <t>Trade and other payables</t>
  </si>
  <si>
    <t>Taxation paid</t>
  </si>
  <si>
    <t>The condensed Consolidated Cash Flow Statements should be read in conjunction with the audited financial statements for</t>
  </si>
  <si>
    <t>Net proceeds from disposal of property, plant and equipment</t>
  </si>
  <si>
    <t>Investment in joint venture</t>
  </si>
  <si>
    <t xml:space="preserve">Proceeds from the issuance of shares </t>
  </si>
  <si>
    <t>CASH EQUIVALENTS</t>
  </si>
  <si>
    <t>OPENING BALANCE OF CASH AND</t>
  </si>
  <si>
    <t xml:space="preserve">CLOSING BALANCE OF CASH AND </t>
  </si>
  <si>
    <t>Closing balance of cash and cash equivalents comprises :-</t>
  </si>
  <si>
    <t>Cash and bank balances</t>
  </si>
  <si>
    <t>Fixed deposit with licensed bank</t>
  </si>
  <si>
    <t>Bank Overdraft</t>
  </si>
  <si>
    <t>(Increase) /Decrease In Working Capital Changes</t>
  </si>
  <si>
    <t xml:space="preserve">Profit before taxation </t>
  </si>
  <si>
    <t>Cash Generated From Operations</t>
  </si>
  <si>
    <t>Net Cash From Operating Activities</t>
  </si>
  <si>
    <t>Net Cash From Investing Activities</t>
  </si>
  <si>
    <t>Net Cash Used in Financing Activities</t>
  </si>
  <si>
    <t>PROPERTY DEVELOPMENT COSTS</t>
  </si>
  <si>
    <t>Operating Profit Before Working Capital Changes</t>
  </si>
  <si>
    <t>NET INCREASE IN CASH AND</t>
  </si>
  <si>
    <t>Joint venture</t>
  </si>
  <si>
    <t xml:space="preserve">   </t>
  </si>
  <si>
    <t>Drawndown of term loan</t>
  </si>
  <si>
    <t>Net repayment of hire purchase liabilities</t>
  </si>
  <si>
    <t>Net repayment of bank borrowing</t>
  </si>
  <si>
    <t>Reserve on consolidation recognised</t>
  </si>
  <si>
    <t>Cash held under Housing Development Accounts</t>
  </si>
  <si>
    <t>Less : Deposits pledged with licensed bank</t>
  </si>
  <si>
    <t xml:space="preserve">Net profit/(loss) for the period </t>
  </si>
  <si>
    <t>Balance as at 1st January 2006</t>
  </si>
  <si>
    <t>OTHER INVESTMENTS</t>
  </si>
  <si>
    <t>Attributable to:</t>
  </si>
  <si>
    <t>Equity holders of the parent</t>
  </si>
  <si>
    <t xml:space="preserve">to ordinary equity holders of the </t>
  </si>
  <si>
    <t>parent(sen)</t>
  </si>
  <si>
    <t>Shareholders</t>
  </si>
  <si>
    <t>Equity</t>
  </si>
  <si>
    <t>Minority</t>
  </si>
  <si>
    <t>Interest</t>
  </si>
  <si>
    <t>Shareholders' Equity</t>
  </si>
  <si>
    <t>Minority Interest</t>
  </si>
  <si>
    <t>TOTAL EQUITY</t>
  </si>
  <si>
    <t>Disposal of associates company</t>
  </si>
  <si>
    <t>Gross Profit</t>
  </si>
  <si>
    <t>Earnings per share attributable</t>
  </si>
  <si>
    <t xml:space="preserve">         Diluted (sen) </t>
  </si>
  <si>
    <t>explanatory notes attached to the interim financial statements.</t>
  </si>
  <si>
    <t>(Increase)/decrease in fixed deposits pledged</t>
  </si>
  <si>
    <t>N/A</t>
  </si>
  <si>
    <t>Gain on disposal of a associate</t>
  </si>
  <si>
    <t xml:space="preserve">Net assets per share attributable to equity holders </t>
  </si>
  <si>
    <t>of the parent (RM)</t>
  </si>
  <si>
    <t>Attributable to equity holders of the parent</t>
  </si>
  <si>
    <t>Non-Distributable</t>
  </si>
  <si>
    <t>Distributable</t>
  </si>
  <si>
    <t xml:space="preserve">Rights Issue of Warrant </t>
  </si>
  <si>
    <t>of Warrants</t>
  </si>
  <si>
    <t>Right Issue</t>
  </si>
  <si>
    <t>Right Issue of Warrants recognised</t>
  </si>
  <si>
    <t>Proceeds from Right Issue of Warrants</t>
  </si>
  <si>
    <t>31/12/2006</t>
  </si>
  <si>
    <t xml:space="preserve">Profit/(Loss) Before Taxation </t>
  </si>
  <si>
    <t>Net Profit/(Loss) for the Period</t>
  </si>
  <si>
    <t xml:space="preserve">Gain on investment in associates </t>
  </si>
  <si>
    <t>the year ended 31 December 2006 and the accompanying explanatory notes attached to the interim financial statements.</t>
  </si>
  <si>
    <t>Share of post acquisition of reserves</t>
  </si>
  <si>
    <t>Investment in subsidiary</t>
  </si>
  <si>
    <t>Balance as at 1st January 2007</t>
  </si>
  <si>
    <t xml:space="preserve">The condensed Consolidated Statements of Changes in Equity should be read in conjunction with the audited financial statements for the year ended 31 December 2006 and the accompanying </t>
  </si>
  <si>
    <t>Trade receivable and other receivable</t>
  </si>
  <si>
    <t>Trade payable and other payable</t>
  </si>
  <si>
    <t>FOR THE PERIOD ENDED 30 JUNE 2007</t>
  </si>
  <si>
    <t>30/06/2007</t>
  </si>
  <si>
    <t>30/06/2006</t>
  </si>
  <si>
    <t>AS AT 30 JUNE 2007</t>
  </si>
  <si>
    <t>FOR THE QUARTER ENDED 30 JUNE 2007</t>
  </si>
  <si>
    <t>Balance as at end of period 30 June 2007</t>
  </si>
  <si>
    <t>Balance as at end of period 31 June 2006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</si>
</sst>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_-* #,##0_-;\-* #,##0_-;_-* &quot;-&quot;??_-;_-@_-"/>
    <numFmt numFmtId="184" formatCode="_(* #,##0.0_);_(* \(#,##0.0\);_(* &quot;-&quot;?_);_(@_)"/>
    <numFmt numFmtId="185" formatCode="_-* #,##0.0_-;\-* #,##0.0_-;_-* &quot;-&quot;?_-;_-@_-"/>
    <numFmt numFmtId="186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 shrinkToFit="1"/>
    </xf>
    <xf numFmtId="17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15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73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/>
    </xf>
    <xf numFmtId="0" fontId="3" fillId="0" borderId="0" xfId="0" applyFont="1" applyAlignment="1">
      <alignment/>
    </xf>
    <xf numFmtId="173" fontId="1" fillId="0" borderId="2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1" fontId="0" fillId="0" borderId="0" xfId="15" applyFont="1" applyAlignment="1">
      <alignment/>
    </xf>
    <xf numFmtId="171" fontId="0" fillId="0" borderId="0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 horizontal="right"/>
    </xf>
    <xf numFmtId="0" fontId="0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173" fontId="0" fillId="0" borderId="0" xfId="21" applyNumberFormat="1" applyFont="1">
      <alignment/>
      <protection/>
    </xf>
    <xf numFmtId="173" fontId="0" fillId="0" borderId="3" xfId="21" applyNumberFormat="1" applyFont="1" applyBorder="1">
      <alignment/>
      <protection/>
    </xf>
    <xf numFmtId="173" fontId="0" fillId="0" borderId="0" xfId="21" applyNumberFormat="1" applyFont="1" applyBorder="1">
      <alignment/>
      <protection/>
    </xf>
    <xf numFmtId="173" fontId="1" fillId="0" borderId="4" xfId="21" applyNumberFormat="1" applyFont="1" applyBorder="1">
      <alignment/>
      <protection/>
    </xf>
    <xf numFmtId="173" fontId="1" fillId="0" borderId="0" xfId="21" applyNumberFormat="1" applyFont="1">
      <alignment/>
      <protection/>
    </xf>
    <xf numFmtId="173" fontId="1" fillId="0" borderId="0" xfId="15" applyNumberFormat="1" applyFont="1" applyBorder="1" applyAlignment="1">
      <alignment/>
    </xf>
    <xf numFmtId="173" fontId="0" fillId="0" borderId="0" xfId="15" applyNumberFormat="1" applyFont="1" applyFill="1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173" fontId="0" fillId="0" borderId="3" xfId="15" applyNumberFormat="1" applyFont="1" applyFill="1" applyBorder="1" applyAlignment="1">
      <alignment/>
    </xf>
    <xf numFmtId="0" fontId="0" fillId="0" borderId="0" xfId="0" applyFont="1" applyAlignment="1">
      <alignment wrapText="1" shrinkToFit="1"/>
    </xf>
    <xf numFmtId="0" fontId="2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1" fillId="0" borderId="0" xfId="21" applyNumberFormat="1" applyFont="1" applyBorder="1">
      <alignment/>
      <protection/>
    </xf>
    <xf numFmtId="171" fontId="0" fillId="0" borderId="0" xfId="15" applyNumberFormat="1" applyFont="1" applyFill="1" applyBorder="1" applyAlignment="1">
      <alignment horizontal="right"/>
    </xf>
    <xf numFmtId="169" fontId="0" fillId="0" borderId="0" xfId="15" applyNumberFormat="1" applyFont="1" applyBorder="1" applyAlignment="1">
      <alignment/>
    </xf>
    <xf numFmtId="171" fontId="0" fillId="0" borderId="0" xfId="15" applyNumberFormat="1" applyFont="1" applyFill="1" applyBorder="1" applyAlignment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Fill="1" applyBorder="1" applyAlignment="1">
      <alignment/>
    </xf>
    <xf numFmtId="173" fontId="0" fillId="0" borderId="5" xfId="0" applyNumberFormat="1" applyFont="1" applyBorder="1" applyAlignment="1">
      <alignment/>
    </xf>
    <xf numFmtId="173" fontId="0" fillId="0" borderId="5" xfId="1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3" fontId="0" fillId="0" borderId="0" xfId="15" applyNumberFormat="1" applyFont="1" applyFill="1" applyAlignment="1">
      <alignment/>
    </xf>
    <xf numFmtId="173" fontId="0" fillId="0" borderId="0" xfId="0" applyNumberFormat="1" applyFont="1" applyAlignment="1">
      <alignment/>
    </xf>
    <xf numFmtId="14" fontId="1" fillId="0" borderId="0" xfId="0" applyNumberFormat="1" applyFont="1" applyBorder="1" applyAlignment="1" quotePrefix="1">
      <alignment horizontal="center"/>
    </xf>
    <xf numFmtId="0" fontId="0" fillId="2" borderId="0" xfId="0" applyFont="1" applyFill="1" applyAlignment="1">
      <alignment/>
    </xf>
    <xf numFmtId="171" fontId="0" fillId="2" borderId="3" xfId="0" applyNumberFormat="1" applyFont="1" applyFill="1" applyBorder="1" applyAlignment="1">
      <alignment/>
    </xf>
    <xf numFmtId="173" fontId="0" fillId="2" borderId="3" xfId="15" applyNumberFormat="1" applyFont="1" applyFill="1" applyBorder="1" applyAlignment="1">
      <alignment/>
    </xf>
    <xf numFmtId="171" fontId="1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9" fillId="0" borderId="0" xfId="15" applyNumberFormat="1" applyFont="1" applyBorder="1" applyAlignment="1">
      <alignment/>
    </xf>
    <xf numFmtId="173" fontId="0" fillId="0" borderId="3" xfId="21" applyNumberFormat="1" applyFont="1" applyFill="1" applyBorder="1">
      <alignment/>
      <protection/>
    </xf>
    <xf numFmtId="173" fontId="1" fillId="0" borderId="4" xfId="21" applyNumberFormat="1" applyFont="1" applyFill="1" applyBorder="1">
      <alignment/>
      <protection/>
    </xf>
    <xf numFmtId="0" fontId="1" fillId="0" borderId="1" xfId="0" applyFont="1" applyBorder="1" applyAlignment="1">
      <alignment horizontal="center"/>
    </xf>
    <xf numFmtId="171" fontId="0" fillId="0" borderId="0" xfId="15" applyFont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02MPBCons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zi\2006\WINDOWS\TEMP\Consol%20March%202005%20-%20Q1%20Tax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zi\2006\Documents%20and%20Settings\admin\My%20Documents\MPB\Master%20Consol%202005\cash%20flow-September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30.06.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June%202007%201st%20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p&amp;l line-up Q4 04"/>
      <sheetName val="p&amp;l line-up Q3 04"/>
      <sheetName val="Income State (1)"/>
      <sheetName val="Sheet1"/>
      <sheetName val="Sheet2"/>
      <sheetName val="Project (3)"/>
      <sheetName val="Detail IS"/>
      <sheetName val="Detail BS"/>
      <sheetName val="Opex &amp; Finance (4)"/>
      <sheetName val="P&amp;L 31032005 (2)"/>
      <sheetName val="Interco"/>
      <sheetName val="p&amp;l notes"/>
      <sheetName val="segmental"/>
      <sheetName val="bs line-up"/>
      <sheetName val="Consol adj"/>
      <sheetName val="current-p&amp;l"/>
      <sheetName val="current-bs"/>
      <sheetName val="Consol Jurnal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co-p&amp;l"/>
      <sheetName val="co-bs"/>
      <sheetName val="mpk(s)-p&amp;l"/>
      <sheetName val="mpk(s)-bs"/>
      <sheetName val="ph-p&amp;l"/>
      <sheetName val="ph-bs "/>
      <sheetName val="mpkG-p&amp;l"/>
      <sheetName val="mpkG-bs"/>
      <sheetName val="gbm-p&amp;l"/>
      <sheetName val="gbm-bs"/>
      <sheetName val="gbm-bs @ 1 Jan 04"/>
      <sheetName val="intco"/>
      <sheetName val="CF workings Q4 04"/>
      <sheetName val="CF Q 2 2004"/>
    </sheetNames>
    <sheetDataSet>
      <sheetData sheetId="15">
        <row r="34">
          <cell r="U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Sheet1"/>
      <sheetName val="Sheet2"/>
      <sheetName val="Sheet3"/>
    </sheetNames>
    <sheetDataSet>
      <sheetData sheetId="0">
        <row r="26">
          <cell r="T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-working"/>
      <sheetName val="MPB-QR "/>
      <sheetName val="group"/>
      <sheetName val="MPB-QR"/>
    </sheetNames>
    <sheetDataSet>
      <sheetData sheetId="1">
        <row r="9">
          <cell r="I9">
            <v>10819.99642</v>
          </cell>
        </row>
        <row r="12">
          <cell r="I12">
            <v>510.46359</v>
          </cell>
        </row>
        <row r="13">
          <cell r="I13">
            <v>0</v>
          </cell>
        </row>
        <row r="18">
          <cell r="I18">
            <v>-57.81743</v>
          </cell>
        </row>
        <row r="19">
          <cell r="I19">
            <v>233.61002000000002</v>
          </cell>
        </row>
        <row r="28">
          <cell r="I28">
            <v>0</v>
          </cell>
        </row>
        <row r="29">
          <cell r="I29">
            <v>-8541.153</v>
          </cell>
        </row>
        <row r="30">
          <cell r="I30">
            <v>-50306.01054</v>
          </cell>
        </row>
        <row r="31">
          <cell r="I31">
            <v>-1630.0605600000001</v>
          </cell>
        </row>
        <row r="32">
          <cell r="I32">
            <v>28529.66344</v>
          </cell>
        </row>
        <row r="38">
          <cell r="I38">
            <v>-40.049</v>
          </cell>
        </row>
        <row r="39">
          <cell r="I39">
            <v>57.81743</v>
          </cell>
        </row>
        <row r="40">
          <cell r="I40">
            <v>-233.61002000000002</v>
          </cell>
        </row>
        <row r="46">
          <cell r="I46">
            <v>-525.546</v>
          </cell>
        </row>
        <row r="48">
          <cell r="I48">
            <v>0</v>
          </cell>
        </row>
        <row r="50">
          <cell r="I50">
            <v>0</v>
          </cell>
        </row>
        <row r="55">
          <cell r="I55">
            <v>-145.90308999999996</v>
          </cell>
        </row>
        <row r="56">
          <cell r="I56">
            <v>-14330.15663</v>
          </cell>
        </row>
        <row r="57">
          <cell r="I57">
            <v>0</v>
          </cell>
        </row>
        <row r="58">
          <cell r="I58">
            <v>41000</v>
          </cell>
        </row>
        <row r="59">
          <cell r="I59">
            <v>0</v>
          </cell>
        </row>
        <row r="60">
          <cell r="I60">
            <v>14.518</v>
          </cell>
        </row>
        <row r="61">
          <cell r="I61">
            <v>0</v>
          </cell>
        </row>
        <row r="69">
          <cell r="I69">
            <v>1716.7033100000006</v>
          </cell>
        </row>
        <row r="76">
          <cell r="I76">
            <v>10712.41285</v>
          </cell>
        </row>
        <row r="77">
          <cell r="I77">
            <v>1430</v>
          </cell>
        </row>
        <row r="78">
          <cell r="I78">
            <v>0</v>
          </cell>
        </row>
        <row r="79">
          <cell r="I79">
            <v>-5069.946910000001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Income State (1)"/>
      <sheetName val="Sheet1"/>
      <sheetName val="Sheet2"/>
      <sheetName val="Project (3)"/>
      <sheetName val="Detail IS"/>
      <sheetName val="Detail BS04vs03"/>
      <sheetName val="Opex &amp; Finance (4)"/>
      <sheetName val="P&amp;L QTR 4"/>
      <sheetName val="p&amp;l notes"/>
      <sheetName val="P&amp;L Q2"/>
      <sheetName val="current-p&amp;l"/>
      <sheetName val="current-bs"/>
      <sheetName val="P &amp; L segmental qtr 4"/>
      <sheetName val="P&amp;L300607segmental"/>
      <sheetName val="Consol adj"/>
      <sheetName val="P&amp;L 30062007"/>
      <sheetName val="bs line-up"/>
      <sheetName val="Consol Jurnal"/>
      <sheetName val="AJE"/>
      <sheetName val="audit consol adj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mprima-p&amp;l"/>
      <sheetName val="mprima-bs"/>
      <sheetName val="mpk(s)-p&amp;l"/>
      <sheetName val="mpk(s)-bs"/>
      <sheetName val="ph-bs "/>
      <sheetName val="ph-p&amp;l"/>
      <sheetName val="mpkG-p&amp;l"/>
      <sheetName val="mpkG-bs"/>
      <sheetName val="Interco"/>
      <sheetName val="Profit cal"/>
      <sheetName val="gbm-p&amp;l"/>
      <sheetName val="gbm-bs"/>
      <sheetName val="gbm-bs @ 1 Jan 04"/>
      <sheetName val="intco"/>
      <sheetName val="CF workings Q4 04"/>
      <sheetName val="CF Q 2 2004"/>
    </sheetNames>
    <sheetDataSet>
      <sheetData sheetId="21">
        <row r="13">
          <cell r="R13">
            <v>90021760.74000001</v>
          </cell>
        </row>
        <row r="18">
          <cell r="R18">
            <v>-74348283.5</v>
          </cell>
        </row>
        <row r="25">
          <cell r="R25">
            <v>190522.13</v>
          </cell>
        </row>
        <row r="26">
          <cell r="R26">
            <v>-510463.58999999997</v>
          </cell>
        </row>
        <row r="27">
          <cell r="R27">
            <v>0</v>
          </cell>
        </row>
        <row r="28">
          <cell r="R28">
            <v>0</v>
          </cell>
        </row>
        <row r="29">
          <cell r="R29">
            <v>-3417911.6999999997</v>
          </cell>
        </row>
        <row r="30">
          <cell r="R30">
            <v>-880699.64</v>
          </cell>
        </row>
        <row r="31">
          <cell r="R31">
            <v>-1319</v>
          </cell>
        </row>
        <row r="37">
          <cell r="R37">
            <v>-233610.02000000002</v>
          </cell>
        </row>
        <row r="41">
          <cell r="R41">
            <v>-4018403.4690000014</v>
          </cell>
        </row>
        <row r="44">
          <cell r="R44">
            <v>-601475.305320601</v>
          </cell>
        </row>
      </sheetData>
      <sheetData sheetId="22">
        <row r="9">
          <cell r="R9">
            <v>51489646</v>
          </cell>
        </row>
        <row r="10">
          <cell r="R10">
            <v>9390626.23</v>
          </cell>
        </row>
        <row r="11">
          <cell r="R11">
            <v>7019651.7</v>
          </cell>
        </row>
        <row r="12">
          <cell r="R12">
            <v>29994</v>
          </cell>
        </row>
        <row r="13">
          <cell r="R13">
            <v>135040.15967941284</v>
          </cell>
        </row>
        <row r="16">
          <cell r="R16">
            <v>2769591.571320601</v>
          </cell>
        </row>
        <row r="19">
          <cell r="R19">
            <v>73499.29</v>
          </cell>
        </row>
        <row r="20">
          <cell r="R20">
            <v>729785</v>
          </cell>
        </row>
        <row r="21">
          <cell r="R21">
            <v>40999602.74</v>
          </cell>
        </row>
        <row r="29">
          <cell r="R29">
            <v>5677183.539999999</v>
          </cell>
        </row>
        <row r="34">
          <cell r="R34">
            <v>0</v>
          </cell>
        </row>
        <row r="35">
          <cell r="R35">
            <v>690000</v>
          </cell>
        </row>
        <row r="37">
          <cell r="R37">
            <v>46207</v>
          </cell>
        </row>
        <row r="39">
          <cell r="R39">
            <v>109137337.07</v>
          </cell>
        </row>
        <row r="40">
          <cell r="R40">
            <v>35287639</v>
          </cell>
        </row>
        <row r="41">
          <cell r="R41">
            <v>2006800.97</v>
          </cell>
        </row>
        <row r="42">
          <cell r="R42">
            <v>24252158.2</v>
          </cell>
        </row>
        <row r="43">
          <cell r="R43">
            <v>6376169.16</v>
          </cell>
        </row>
        <row r="48">
          <cell r="R48">
            <v>0</v>
          </cell>
        </row>
        <row r="49">
          <cell r="R49">
            <v>12142412.850000001</v>
          </cell>
        </row>
        <row r="52">
          <cell r="R52">
            <v>-40167929.01</v>
          </cell>
        </row>
        <row r="55">
          <cell r="R55">
            <v>14877898</v>
          </cell>
        </row>
        <row r="57">
          <cell r="R57">
            <v>41200678.94</v>
          </cell>
        </row>
        <row r="58">
          <cell r="R58">
            <v>26067523.050000012</v>
          </cell>
        </row>
        <row r="59">
          <cell r="R59">
            <v>0</v>
          </cell>
        </row>
        <row r="60">
          <cell r="R60">
            <v>162500</v>
          </cell>
        </row>
        <row r="61">
          <cell r="R61">
            <v>0</v>
          </cell>
        </row>
        <row r="62">
          <cell r="R62">
            <v>0</v>
          </cell>
        </row>
        <row r="63">
          <cell r="R63">
            <v>712661.2100000001</v>
          </cell>
        </row>
        <row r="65">
          <cell r="R65">
            <v>5069946.91</v>
          </cell>
        </row>
        <row r="66">
          <cell r="R66">
            <v>20088587.029999997</v>
          </cell>
        </row>
        <row r="67">
          <cell r="R67">
            <v>14966605.179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75" zoomScaleSheetLayoutView="75" workbookViewId="0" topLeftCell="A25">
      <selection activeCell="L46" sqref="L46"/>
    </sheetView>
  </sheetViews>
  <sheetFormatPr defaultColWidth="9.140625" defaultRowHeight="12.75"/>
  <cols>
    <col min="1" max="1" width="28.8515625" style="3" customWidth="1"/>
    <col min="2" max="2" width="17.421875" style="3" customWidth="1"/>
    <col min="3" max="3" width="1.7109375" style="12" customWidth="1"/>
    <col min="4" max="4" width="16.7109375" style="3" customWidth="1"/>
    <col min="5" max="5" width="1.7109375" style="12" customWidth="1"/>
    <col min="6" max="6" width="16.57421875" style="3" customWidth="1"/>
    <col min="7" max="7" width="1.7109375" style="12" customWidth="1"/>
    <col min="8" max="8" width="18.00390625" style="3" customWidth="1"/>
    <col min="9" max="16384" width="9.140625" style="3" customWidth="1"/>
  </cols>
  <sheetData>
    <row r="1" spans="1:7" s="2" customFormat="1" ht="15.75">
      <c r="A1" s="2" t="s">
        <v>9</v>
      </c>
      <c r="C1" s="16"/>
      <c r="E1" s="16"/>
      <c r="G1" s="16"/>
    </row>
    <row r="2" spans="3:7" s="2" customFormat="1" ht="15.75">
      <c r="C2" s="16"/>
      <c r="E2" s="16"/>
      <c r="G2" s="16"/>
    </row>
    <row r="3" spans="1:7" s="2" customFormat="1" ht="15.75">
      <c r="A3" s="2" t="s">
        <v>69</v>
      </c>
      <c r="C3" s="16"/>
      <c r="E3" s="16"/>
      <c r="G3" s="16"/>
    </row>
    <row r="4" spans="1:7" s="2" customFormat="1" ht="15.75">
      <c r="A4" s="2" t="s">
        <v>157</v>
      </c>
      <c r="C4" s="16"/>
      <c r="E4" s="16"/>
      <c r="G4" s="16"/>
    </row>
    <row r="7" spans="2:8" s="7" customFormat="1" ht="12.75">
      <c r="B7" s="8">
        <v>2007</v>
      </c>
      <c r="C7" s="8"/>
      <c r="D7" s="8">
        <v>2006</v>
      </c>
      <c r="E7" s="8"/>
      <c r="F7" s="8">
        <v>2007</v>
      </c>
      <c r="G7" s="8"/>
      <c r="H7" s="8">
        <v>2006</v>
      </c>
    </row>
    <row r="8" spans="2:8" s="9" customFormat="1" ht="12">
      <c r="B8" s="17" t="s">
        <v>1</v>
      </c>
      <c r="C8" s="17"/>
      <c r="D8" s="17" t="s">
        <v>2</v>
      </c>
      <c r="E8" s="17"/>
      <c r="F8" s="17" t="s">
        <v>1</v>
      </c>
      <c r="G8" s="17"/>
      <c r="H8" s="17" t="s">
        <v>2</v>
      </c>
    </row>
    <row r="9" spans="2:8" s="9" customFormat="1" ht="12">
      <c r="B9" s="17" t="s">
        <v>3</v>
      </c>
      <c r="C9" s="17"/>
      <c r="D9" s="17" t="s">
        <v>4</v>
      </c>
      <c r="E9" s="17"/>
      <c r="F9" s="17" t="s">
        <v>5</v>
      </c>
      <c r="G9" s="17"/>
      <c r="H9" s="17" t="s">
        <v>4</v>
      </c>
    </row>
    <row r="10" spans="2:8" s="9" customFormat="1" ht="12">
      <c r="B10" s="17"/>
      <c r="C10" s="17"/>
      <c r="D10" s="17" t="s">
        <v>3</v>
      </c>
      <c r="E10" s="17"/>
      <c r="F10" s="17"/>
      <c r="G10" s="17"/>
      <c r="H10" s="17" t="s">
        <v>6</v>
      </c>
    </row>
    <row r="11" spans="2:8" s="9" customFormat="1" ht="12">
      <c r="B11" s="17"/>
      <c r="C11" s="17"/>
      <c r="D11" s="17"/>
      <c r="E11" s="17"/>
      <c r="F11" s="17"/>
      <c r="G11" s="17"/>
      <c r="H11" s="17"/>
    </row>
    <row r="12" spans="2:8" s="9" customFormat="1" ht="12">
      <c r="B12" s="38" t="s">
        <v>158</v>
      </c>
      <c r="C12" s="18"/>
      <c r="D12" s="38" t="s">
        <v>159</v>
      </c>
      <c r="E12" s="18"/>
      <c r="F12" s="38" t="str">
        <f>+B12</f>
        <v>30/06/2007</v>
      </c>
      <c r="G12" s="18"/>
      <c r="H12" s="38" t="str">
        <f>+D12</f>
        <v>30/06/2006</v>
      </c>
    </row>
    <row r="13" spans="2:8" s="9" customFormat="1" ht="12">
      <c r="B13" s="17" t="s">
        <v>44</v>
      </c>
      <c r="C13" s="17"/>
      <c r="D13" s="17" t="s">
        <v>44</v>
      </c>
      <c r="E13" s="17"/>
      <c r="F13" s="17" t="s">
        <v>44</v>
      </c>
      <c r="G13" s="17"/>
      <c r="H13" s="17" t="s">
        <v>44</v>
      </c>
    </row>
    <row r="14" s="9" customFormat="1" ht="12"/>
    <row r="15" spans="1:8" s="12" customFormat="1" ht="12.75">
      <c r="A15" s="10" t="s">
        <v>7</v>
      </c>
      <c r="B15" s="11">
        <f>+F15-25384</f>
        <v>64637.76074000001</v>
      </c>
      <c r="C15" s="11"/>
      <c r="D15" s="11">
        <v>8614</v>
      </c>
      <c r="E15" s="11"/>
      <c r="F15" s="11">
        <f>+'[4]P&amp;L 30062007'!$R$13/1000</f>
        <v>90021.76074000001</v>
      </c>
      <c r="G15" s="11"/>
      <c r="H15" s="11">
        <v>20798</v>
      </c>
    </row>
    <row r="16" spans="1:8" s="12" customFormat="1" ht="12.75">
      <c r="A16" s="10"/>
      <c r="B16" s="11"/>
      <c r="C16" s="11"/>
      <c r="D16" s="11"/>
      <c r="E16" s="11"/>
      <c r="F16" s="11"/>
      <c r="G16" s="11"/>
      <c r="H16" s="11"/>
    </row>
    <row r="17" spans="1:8" s="12" customFormat="1" ht="12.75">
      <c r="A17" s="10" t="s">
        <v>27</v>
      </c>
      <c r="B17" s="24">
        <f>+F17+21054</f>
        <v>-53295.283500000005</v>
      </c>
      <c r="C17" s="11"/>
      <c r="D17" s="39">
        <v>-7731</v>
      </c>
      <c r="E17" s="11"/>
      <c r="F17" s="24">
        <f>+'[4]P&amp;L 30062007'!$R$18/1000-1</f>
        <v>-74349.2835</v>
      </c>
      <c r="G17" s="11"/>
      <c r="H17" s="24">
        <v>-19192</v>
      </c>
    </row>
    <row r="18" spans="1:8" s="12" customFormat="1" ht="12.75">
      <c r="A18" s="10"/>
      <c r="B18" s="11"/>
      <c r="C18" s="11"/>
      <c r="D18" s="11"/>
      <c r="E18" s="11"/>
      <c r="F18" s="11"/>
      <c r="G18" s="11"/>
      <c r="H18" s="11"/>
    </row>
    <row r="19" spans="1:8" s="12" customFormat="1" ht="12.75">
      <c r="A19" s="10" t="s">
        <v>129</v>
      </c>
      <c r="B19" s="11">
        <f>SUM(B14:B18)+1</f>
        <v>11343.477240000007</v>
      </c>
      <c r="C19" s="11"/>
      <c r="D19" s="11">
        <f>SUM(D14:D18)</f>
        <v>883</v>
      </c>
      <c r="E19" s="11">
        <f>SUM(E14:E18)</f>
        <v>0</v>
      </c>
      <c r="F19" s="11">
        <f>SUM(F14:F18)+1</f>
        <v>15673.477240000007</v>
      </c>
      <c r="G19" s="11"/>
      <c r="H19" s="11">
        <f>SUM(H14:H18)</f>
        <v>1606</v>
      </c>
    </row>
    <row r="20" spans="1:8" s="12" customFormat="1" ht="12.75">
      <c r="A20" s="10"/>
      <c r="B20" s="11"/>
      <c r="C20" s="11"/>
      <c r="D20" s="11"/>
      <c r="E20" s="11"/>
      <c r="F20" s="11"/>
      <c r="G20" s="11"/>
      <c r="H20" s="11"/>
    </row>
    <row r="21" spans="1:8" s="12" customFormat="1" ht="12.75">
      <c r="A21" s="10" t="s">
        <v>28</v>
      </c>
      <c r="B21" s="24">
        <f>+F21-126</f>
        <v>64.52213</v>
      </c>
      <c r="C21" s="11"/>
      <c r="D21" s="24">
        <v>169</v>
      </c>
      <c r="E21" s="11"/>
      <c r="F21" s="24">
        <f>+'[4]P&amp;L 30062007'!$R$25/1000</f>
        <v>190.52213</v>
      </c>
      <c r="G21" s="11"/>
      <c r="H21" s="24">
        <v>3235</v>
      </c>
    </row>
    <row r="22" spans="1:8" s="12" customFormat="1" ht="12.75">
      <c r="A22" s="10"/>
      <c r="B22" s="11">
        <f>SUM(B19:B21)</f>
        <v>11407.999370000007</v>
      </c>
      <c r="C22" s="11"/>
      <c r="D22" s="11">
        <f>SUM(D19:D21)</f>
        <v>1052</v>
      </c>
      <c r="E22" s="11"/>
      <c r="F22" s="11">
        <f>SUM(F19:F21)</f>
        <v>15863.999370000007</v>
      </c>
      <c r="G22" s="11"/>
      <c r="H22" s="11">
        <f>SUM(H19:H21)</f>
        <v>4841</v>
      </c>
    </row>
    <row r="23" spans="1:8" s="12" customFormat="1" ht="12.75">
      <c r="A23" s="10"/>
      <c r="B23" s="11"/>
      <c r="C23" s="11"/>
      <c r="D23" s="11"/>
      <c r="E23" s="11"/>
      <c r="F23" s="11"/>
      <c r="G23" s="11"/>
      <c r="H23" s="11"/>
    </row>
    <row r="24" spans="1:8" s="12" customFormat="1" ht="12.75">
      <c r="A24" s="10" t="s">
        <v>45</v>
      </c>
      <c r="B24" s="24">
        <f>+F24+2253</f>
        <v>-2557.3939299999993</v>
      </c>
      <c r="C24" s="11"/>
      <c r="D24" s="39">
        <v>-3229</v>
      </c>
      <c r="E24" s="11"/>
      <c r="F24" s="24">
        <f>+SUM('[4]P&amp;L 30062007'!$R$26:$R$31)/1000</f>
        <v>-4810.393929999999</v>
      </c>
      <c r="G24" s="11"/>
      <c r="H24" s="24">
        <v>-6245</v>
      </c>
    </row>
    <row r="25" spans="1:14" s="12" customFormat="1" ht="12.75" customHeight="1">
      <c r="A25" s="10"/>
      <c r="B25" s="13">
        <f>SUM(B22:B24)</f>
        <v>8850.605440000007</v>
      </c>
      <c r="C25" s="13"/>
      <c r="D25" s="13">
        <f>SUM(D22:D24)</f>
        <v>-2177</v>
      </c>
      <c r="E25" s="13">
        <f>SUM(E19:E24)</f>
        <v>0</v>
      </c>
      <c r="F25" s="13">
        <f>SUM(F22:F24)</f>
        <v>11053.605440000007</v>
      </c>
      <c r="G25" s="13"/>
      <c r="H25" s="13">
        <f>SUM(H22:H24)</f>
        <v>-1404</v>
      </c>
      <c r="I25" s="14"/>
      <c r="K25" s="14"/>
      <c r="L25" s="14"/>
      <c r="M25" s="14"/>
      <c r="N25" s="14"/>
    </row>
    <row r="26" spans="1:8" s="12" customFormat="1" ht="12.75">
      <c r="A26" s="10"/>
      <c r="B26" s="11"/>
      <c r="C26" s="11"/>
      <c r="D26" s="11"/>
      <c r="E26" s="11"/>
      <c r="F26" s="11"/>
      <c r="G26" s="11"/>
      <c r="H26" s="11"/>
    </row>
    <row r="27" spans="1:8" s="12" customFormat="1" ht="12.75">
      <c r="A27" s="10" t="s">
        <v>29</v>
      </c>
      <c r="B27" s="24">
        <f>+F27+112</f>
        <v>-121.61002000000002</v>
      </c>
      <c r="C27" s="11"/>
      <c r="D27" s="24">
        <v>-233</v>
      </c>
      <c r="E27" s="11"/>
      <c r="F27" s="24">
        <f>+'[4]P&amp;L 30062007'!$R$37/1000</f>
        <v>-233.61002000000002</v>
      </c>
      <c r="G27" s="11"/>
      <c r="H27" s="24">
        <v>-799</v>
      </c>
    </row>
    <row r="28" spans="1:8" s="12" customFormat="1" ht="12.75">
      <c r="A28" s="10"/>
      <c r="B28" s="11"/>
      <c r="C28" s="11"/>
      <c r="D28" s="11"/>
      <c r="E28" s="11"/>
      <c r="F28" s="11"/>
      <c r="G28" s="11"/>
      <c r="H28" s="11"/>
    </row>
    <row r="29" spans="1:8" s="12" customFormat="1" ht="25.5" hidden="1">
      <c r="A29" s="10" t="s">
        <v>32</v>
      </c>
      <c r="B29" s="24">
        <f>F29</f>
        <v>0</v>
      </c>
      <c r="C29" s="11"/>
      <c r="D29" s="24">
        <v>0</v>
      </c>
      <c r="E29" s="11"/>
      <c r="F29" s="24">
        <f>'[1]P&amp;L 31032005 (2)'!$U$34/100</f>
        <v>0</v>
      </c>
      <c r="G29" s="11"/>
      <c r="H29" s="24">
        <v>0</v>
      </c>
    </row>
    <row r="30" spans="1:8" s="12" customFormat="1" ht="12.75" hidden="1">
      <c r="A30" s="10"/>
      <c r="B30" s="11"/>
      <c r="C30" s="11"/>
      <c r="D30" s="11"/>
      <c r="E30" s="11"/>
      <c r="F30" s="11"/>
      <c r="G30" s="11"/>
      <c r="H30" s="11"/>
    </row>
    <row r="31" spans="1:8" s="12" customFormat="1" ht="12.75">
      <c r="A31" s="10" t="s">
        <v>147</v>
      </c>
      <c r="B31" s="11">
        <f>SUM(B25:B29)</f>
        <v>8728.995420000007</v>
      </c>
      <c r="C31" s="11"/>
      <c r="D31" s="11">
        <f>SUM(D25:D29)</f>
        <v>-2410</v>
      </c>
      <c r="E31" s="11"/>
      <c r="F31" s="11">
        <f>SUM(F25:F29)</f>
        <v>10819.995420000007</v>
      </c>
      <c r="G31" s="11"/>
      <c r="H31" s="11">
        <f>SUM(H25:H29)</f>
        <v>-2203</v>
      </c>
    </row>
    <row r="32" spans="1:8" s="12" customFormat="1" ht="12.75">
      <c r="A32" s="10"/>
      <c r="B32" s="11"/>
      <c r="C32" s="11"/>
      <c r="D32" s="11"/>
      <c r="E32" s="11"/>
      <c r="F32" s="11"/>
      <c r="G32" s="11"/>
      <c r="H32" s="11"/>
    </row>
    <row r="33" spans="1:8" s="12" customFormat="1" ht="12.75">
      <c r="A33" s="10" t="s">
        <v>30</v>
      </c>
      <c r="B33" s="24">
        <f>+F33+1011</f>
        <v>-3007.403469000001</v>
      </c>
      <c r="C33" s="11"/>
      <c r="D33" s="24">
        <v>-417</v>
      </c>
      <c r="E33" s="11"/>
      <c r="F33" s="24">
        <f>+'[4]P&amp;L 30062007'!$R$41/1000</f>
        <v>-4018.403469000001</v>
      </c>
      <c r="G33" s="11"/>
      <c r="H33" s="24">
        <v>-534</v>
      </c>
    </row>
    <row r="34" spans="1:8" s="12" customFormat="1" ht="12.75">
      <c r="A34" s="10"/>
      <c r="B34" s="11"/>
      <c r="C34" s="11"/>
      <c r="D34" s="11"/>
      <c r="E34" s="11"/>
      <c r="F34" s="11"/>
      <c r="G34" s="11"/>
      <c r="H34" s="11"/>
    </row>
    <row r="35" spans="1:8" s="12" customFormat="1" ht="13.5" thickBot="1">
      <c r="A35" s="10" t="s">
        <v>148</v>
      </c>
      <c r="B35" s="60">
        <f>SUM(B31:B34)</f>
        <v>5721.591951000006</v>
      </c>
      <c r="C35" s="11"/>
      <c r="D35" s="60">
        <f>SUM(D31:D34)</f>
        <v>-2827</v>
      </c>
      <c r="E35" s="11"/>
      <c r="F35" s="60">
        <f>SUM(F31:F33)</f>
        <v>6801.591951000006</v>
      </c>
      <c r="G35" s="11"/>
      <c r="H35" s="60">
        <f>SUM(H31:H34)</f>
        <v>-2737</v>
      </c>
    </row>
    <row r="36" spans="1:8" s="12" customFormat="1" ht="12.75">
      <c r="A36" s="10"/>
      <c r="B36" s="62"/>
      <c r="C36" s="11"/>
      <c r="D36" s="62"/>
      <c r="E36" s="11"/>
      <c r="F36" s="62"/>
      <c r="G36" s="11"/>
      <c r="H36" s="62"/>
    </row>
    <row r="37" spans="1:8" s="12" customFormat="1" ht="12.75">
      <c r="A37" s="10"/>
      <c r="B37" s="11"/>
      <c r="C37" s="11"/>
      <c r="D37" s="11"/>
      <c r="E37" s="11"/>
      <c r="F37" s="11"/>
      <c r="G37" s="11"/>
      <c r="H37" s="11"/>
    </row>
    <row r="38" spans="1:8" s="12" customFormat="1" ht="12.75">
      <c r="A38" s="10" t="s">
        <v>117</v>
      </c>
      <c r="B38" s="11"/>
      <c r="C38" s="11"/>
      <c r="D38" s="11"/>
      <c r="E38" s="11"/>
      <c r="F38" s="11"/>
      <c r="G38" s="11"/>
      <c r="H38" s="11"/>
    </row>
    <row r="39" spans="1:8" s="12" customFormat="1" ht="12.75">
      <c r="A39" s="10" t="s">
        <v>118</v>
      </c>
      <c r="B39" s="11">
        <f>+B41+B40+1</f>
        <v>5194.116645679404</v>
      </c>
      <c r="C39" s="11"/>
      <c r="D39" s="11">
        <f>+D41+D40</f>
        <v>-2226</v>
      </c>
      <c r="E39" s="11"/>
      <c r="F39" s="11">
        <f>+F41+F40+1</f>
        <v>6200.116645679404</v>
      </c>
      <c r="G39" s="11"/>
      <c r="H39" s="11">
        <f>+H41+H40</f>
        <v>-2046</v>
      </c>
    </row>
    <row r="40" spans="1:8" s="12" customFormat="1" ht="12.75">
      <c r="A40" s="10" t="s">
        <v>31</v>
      </c>
      <c r="B40" s="24">
        <f>+F40+74</f>
        <v>-528.475305320601</v>
      </c>
      <c r="C40" s="11"/>
      <c r="D40" s="24">
        <v>601</v>
      </c>
      <c r="E40" s="11"/>
      <c r="F40" s="24">
        <f>+'[4]P&amp;L 30062007'!$R$44/1000-1</f>
        <v>-602.475305320601</v>
      </c>
      <c r="G40" s="11"/>
      <c r="H40" s="24">
        <v>691</v>
      </c>
    </row>
    <row r="41" spans="1:8" s="12" customFormat="1" ht="13.5" thickBot="1">
      <c r="A41" s="10" t="s">
        <v>148</v>
      </c>
      <c r="B41" s="61">
        <f>+B35</f>
        <v>5721.591951000006</v>
      </c>
      <c r="C41" s="11"/>
      <c r="D41" s="50">
        <f>+D35</f>
        <v>-2827</v>
      </c>
      <c r="E41" s="11"/>
      <c r="F41" s="50">
        <f>+F35</f>
        <v>6801.591951000006</v>
      </c>
      <c r="G41" s="11"/>
      <c r="H41" s="50">
        <f>+H35</f>
        <v>-2737</v>
      </c>
    </row>
    <row r="42" spans="1:8" s="12" customFormat="1" ht="12.75">
      <c r="A42" s="10"/>
      <c r="B42" s="11"/>
      <c r="C42" s="11"/>
      <c r="D42" s="11"/>
      <c r="E42" s="11"/>
      <c r="F42" s="11"/>
      <c r="G42" s="11"/>
      <c r="H42" s="11"/>
    </row>
    <row r="43" spans="1:8" s="12" customFormat="1" ht="12.75">
      <c r="A43" s="10"/>
      <c r="B43" s="11"/>
      <c r="C43" s="11"/>
      <c r="D43" s="11"/>
      <c r="E43" s="11"/>
      <c r="F43" s="11"/>
      <c r="G43" s="11"/>
      <c r="H43" s="11"/>
    </row>
    <row r="44" spans="1:8" s="12" customFormat="1" ht="12.75" customHeight="1">
      <c r="A44" s="10" t="s">
        <v>130</v>
      </c>
      <c r="B44" s="11"/>
      <c r="C44" s="11"/>
      <c r="D44" s="11"/>
      <c r="E44" s="11"/>
      <c r="F44" s="11"/>
      <c r="G44" s="11"/>
      <c r="H44" s="11"/>
    </row>
    <row r="45" spans="1:8" s="12" customFormat="1" ht="12.75" customHeight="1">
      <c r="A45" s="10" t="s">
        <v>119</v>
      </c>
      <c r="B45" s="11"/>
      <c r="C45" s="11"/>
      <c r="D45" s="11"/>
      <c r="E45" s="11"/>
      <c r="F45" s="11"/>
      <c r="G45" s="11"/>
      <c r="H45" s="11"/>
    </row>
    <row r="46" spans="1:8" s="12" customFormat="1" ht="12.75" customHeight="1">
      <c r="A46" s="10" t="s">
        <v>120</v>
      </c>
      <c r="B46" s="11"/>
      <c r="C46" s="11"/>
      <c r="D46" s="11"/>
      <c r="E46" s="11"/>
      <c r="F46" s="11"/>
      <c r="G46" s="11"/>
      <c r="H46" s="11"/>
    </row>
    <row r="47" spans="1:8" s="12" customFormat="1" ht="12.75">
      <c r="A47" s="10" t="s">
        <v>48</v>
      </c>
      <c r="B47" s="46">
        <f>+(B39/51480)*100</f>
        <v>10.089581673813917</v>
      </c>
      <c r="C47" s="46"/>
      <c r="D47" s="46">
        <f>+(D39/46798)*100</f>
        <v>-4.756613530492756</v>
      </c>
      <c r="E47" s="46"/>
      <c r="F47" s="46">
        <f>+(F39/51480)*100</f>
        <v>12.043738627970871</v>
      </c>
      <c r="G47" s="26"/>
      <c r="H47" s="26">
        <f>+(H39/46798)*100</f>
        <v>-4.3719817086200266</v>
      </c>
    </row>
    <row r="48" spans="1:8" s="12" customFormat="1" ht="12.75">
      <c r="A48" s="10" t="s">
        <v>131</v>
      </c>
      <c r="B48" s="44">
        <v>8.92</v>
      </c>
      <c r="C48" s="44"/>
      <c r="D48" s="44" t="s">
        <v>134</v>
      </c>
      <c r="E48" s="44"/>
      <c r="F48" s="44">
        <v>11.45</v>
      </c>
      <c r="G48" s="27"/>
      <c r="H48" s="44" t="s">
        <v>134</v>
      </c>
    </row>
    <row r="49" s="12" customFormat="1" ht="12.75"/>
    <row r="50" s="12" customFormat="1" ht="12.75"/>
    <row r="51" s="12" customFormat="1" ht="12.75">
      <c r="A51" s="12" t="s">
        <v>76</v>
      </c>
    </row>
    <row r="52" s="12" customFormat="1" ht="12.75">
      <c r="A52" s="12" t="s">
        <v>150</v>
      </c>
    </row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</sheetData>
  <printOptions horizontalCentered="1"/>
  <pageMargins left="0.3937007874015748" right="0.2362204724409449" top="0.984251968503937" bottom="0.5905511811023623" header="0.5118110236220472" footer="0.5118110236220472"/>
  <pageSetup horizontalDpi="300" verticalDpi="300" orientation="portrait" paperSize="9" scale="95" r:id="rId1"/>
  <headerFooter alignWithMargins="0">
    <oddHeader>&amp;R1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="75" zoomScaleSheetLayoutView="75" workbookViewId="0" topLeftCell="A8">
      <selection activeCell="B60" sqref="B60"/>
    </sheetView>
  </sheetViews>
  <sheetFormatPr defaultColWidth="9.140625" defaultRowHeight="12.75"/>
  <cols>
    <col min="1" max="1" width="7.7109375" style="3" customWidth="1"/>
    <col min="2" max="2" width="48.00390625" style="3" customWidth="1"/>
    <col min="3" max="3" width="19.00390625" style="12" customWidth="1"/>
    <col min="4" max="4" width="1.7109375" style="12" customWidth="1"/>
    <col min="5" max="5" width="19.7109375" style="12" customWidth="1"/>
    <col min="6" max="16384" width="9.140625" style="3" customWidth="1"/>
  </cols>
  <sheetData>
    <row r="1" spans="1:5" s="2" customFormat="1" ht="15.75">
      <c r="A1" s="2" t="s">
        <v>9</v>
      </c>
      <c r="C1" s="16"/>
      <c r="D1" s="16"/>
      <c r="E1" s="16"/>
    </row>
    <row r="2" spans="3:5" s="2" customFormat="1" ht="15.75">
      <c r="C2" s="16"/>
      <c r="D2" s="16"/>
      <c r="E2" s="16"/>
    </row>
    <row r="3" spans="1:5" s="2" customFormat="1" ht="15.75">
      <c r="A3" s="2" t="s">
        <v>72</v>
      </c>
      <c r="C3" s="16"/>
      <c r="D3" s="16"/>
      <c r="E3" s="16"/>
    </row>
    <row r="4" spans="1:5" s="2" customFormat="1" ht="15.75">
      <c r="A4" s="2" t="s">
        <v>160</v>
      </c>
      <c r="C4" s="16"/>
      <c r="D4" s="16"/>
      <c r="E4" s="16"/>
    </row>
    <row r="6" spans="3:5" s="1" customFormat="1" ht="12.75">
      <c r="C6" s="17" t="s">
        <v>33</v>
      </c>
      <c r="D6" s="17"/>
      <c r="E6" s="17" t="s">
        <v>34</v>
      </c>
    </row>
    <row r="7" spans="3:5" s="1" customFormat="1" ht="12.75">
      <c r="C7" s="38" t="s">
        <v>158</v>
      </c>
      <c r="D7" s="18"/>
      <c r="E7" s="38" t="s">
        <v>146</v>
      </c>
    </row>
    <row r="8" spans="3:5" s="1" customFormat="1" ht="12.75">
      <c r="C8" s="17" t="s">
        <v>44</v>
      </c>
      <c r="D8" s="17"/>
      <c r="E8" s="17" t="s">
        <v>44</v>
      </c>
    </row>
    <row r="10" spans="1:5" ht="12.75">
      <c r="A10" s="1" t="s">
        <v>19</v>
      </c>
      <c r="C10" s="11">
        <f>+'[4]bs line-up'!$R$29/1000</f>
        <v>5677.183539999999</v>
      </c>
      <c r="D10" s="11"/>
      <c r="E10" s="11">
        <f>5662098/1000</f>
        <v>5662.098</v>
      </c>
    </row>
    <row r="11" spans="1:5" ht="12.75">
      <c r="A11" s="1" t="s">
        <v>116</v>
      </c>
      <c r="C11" s="11">
        <f>+'[4]bs line-up'!$R$35/1000</f>
        <v>690</v>
      </c>
      <c r="D11" s="11"/>
      <c r="E11" s="11">
        <f>690000/1000</f>
        <v>690</v>
      </c>
    </row>
    <row r="12" spans="1:5" ht="12.75">
      <c r="A12" s="1" t="s">
        <v>103</v>
      </c>
      <c r="C12" s="11">
        <f>+'[4]bs line-up'!$R$34/1000</f>
        <v>0</v>
      </c>
      <c r="D12" s="11"/>
      <c r="E12" s="11">
        <f>25984933/1000</f>
        <v>25984.933</v>
      </c>
    </row>
    <row r="13" spans="1:5" ht="12.75">
      <c r="A13" s="1" t="s">
        <v>74</v>
      </c>
      <c r="C13" s="11">
        <f>+'[4]bs line-up'!$R$37/1000</f>
        <v>46.207</v>
      </c>
      <c r="D13" s="11"/>
      <c r="E13" s="11">
        <f>46207/1000</f>
        <v>46.207</v>
      </c>
    </row>
    <row r="14" spans="1:5" ht="12.75">
      <c r="A14" s="1"/>
      <c r="C14" s="11"/>
      <c r="D14" s="11"/>
      <c r="E14" s="11"/>
    </row>
    <row r="15" spans="3:5" ht="12.75">
      <c r="C15" s="11"/>
      <c r="D15" s="11"/>
      <c r="E15" s="11"/>
    </row>
    <row r="16" spans="1:5" ht="12.75">
      <c r="A16" s="1" t="s">
        <v>10</v>
      </c>
      <c r="C16" s="11"/>
      <c r="D16" s="11"/>
      <c r="E16" s="11"/>
    </row>
    <row r="17" spans="2:5" ht="12.75">
      <c r="B17" s="3" t="s">
        <v>20</v>
      </c>
      <c r="C17" s="11">
        <f>+'[4]bs line-up'!$R$40/1000-'[4]bs line-up'!$R$55/1000</f>
        <v>20409.741</v>
      </c>
      <c r="D17" s="11"/>
      <c r="E17" s="11">
        <f>28625573/1000</f>
        <v>28625.573</v>
      </c>
    </row>
    <row r="18" spans="2:5" ht="12.75">
      <c r="B18" s="3" t="s">
        <v>24</v>
      </c>
      <c r="C18" s="45">
        <f>+'[4]bs line-up'!$R$39/1000-'[4]bs line-up'!$R$52/1000</f>
        <v>149305.26608</v>
      </c>
      <c r="D18" s="11"/>
      <c r="E18" s="11">
        <f>63692659/1000</f>
        <v>63692.659</v>
      </c>
    </row>
    <row r="19" spans="2:5" ht="12.75">
      <c r="B19" s="3" t="s">
        <v>23</v>
      </c>
      <c r="C19" s="11">
        <f>+'[4]bs line-up'!$R$41/1000</f>
        <v>2006.80097</v>
      </c>
      <c r="D19" s="11"/>
      <c r="E19" s="11">
        <f>2006801/1000</f>
        <v>2006.801</v>
      </c>
    </row>
    <row r="20" spans="2:5" ht="12.75">
      <c r="B20" s="3" t="s">
        <v>155</v>
      </c>
      <c r="C20" s="11">
        <f>+SUM('[4]bs line-up'!$R$42:$R$43)/1000</f>
        <v>30628.32736</v>
      </c>
      <c r="D20" s="11"/>
      <c r="E20" s="11">
        <f>+(42332561+6724116)/1000</f>
        <v>49056.677</v>
      </c>
    </row>
    <row r="21" spans="2:5" ht="12.75">
      <c r="B21" s="3" t="s">
        <v>21</v>
      </c>
      <c r="C21" s="11">
        <f>+SUM('[4]bs line-up'!$R$48:$R$49)/1000</f>
        <v>12142.41285</v>
      </c>
      <c r="D21" s="11"/>
      <c r="E21" s="11">
        <f>+(2746620+4603567)/1000</f>
        <v>7350.187</v>
      </c>
    </row>
    <row r="22" spans="3:5" ht="12.75">
      <c r="C22" s="19">
        <f>SUM(C17:C21)-1</f>
        <v>214491.54826</v>
      </c>
      <c r="D22" s="11"/>
      <c r="E22" s="19">
        <f>SUM(E17:E21)</f>
        <v>150731.89700000003</v>
      </c>
    </row>
    <row r="23" spans="3:5" ht="12.75">
      <c r="C23" s="11"/>
      <c r="D23" s="11"/>
      <c r="E23" s="11"/>
    </row>
    <row r="24" spans="1:5" ht="12.75">
      <c r="A24" s="1" t="s">
        <v>11</v>
      </c>
      <c r="C24" s="11"/>
      <c r="D24" s="11"/>
      <c r="E24" s="11"/>
    </row>
    <row r="25" spans="2:5" ht="12.75">
      <c r="B25" s="3" t="s">
        <v>156</v>
      </c>
      <c r="C25" s="11">
        <f>+SUM('[4]bs line-up'!$R$57:$R$63)/1000</f>
        <v>68143.3632</v>
      </c>
      <c r="D25" s="11"/>
      <c r="E25" s="11">
        <f>+(48569022+17906126)/1000+273206/1000</f>
        <v>66748.354</v>
      </c>
    </row>
    <row r="26" spans="2:5" ht="12.75">
      <c r="B26" s="3" t="s">
        <v>18</v>
      </c>
      <c r="C26" s="45">
        <f>+SUM('[4]bs line-up'!$R$65:$R$66)/1000</f>
        <v>25158.533939999998</v>
      </c>
      <c r="D26" s="11"/>
      <c r="E26" s="11">
        <f>36692724/1000</f>
        <v>36692.724</v>
      </c>
    </row>
    <row r="27" spans="2:5" ht="12.75">
      <c r="B27" s="3" t="s">
        <v>8</v>
      </c>
      <c r="C27" s="11">
        <f>+'[4]bs line-up'!$R$67/1000-1</f>
        <v>14965.605179</v>
      </c>
      <c r="D27" s="11"/>
      <c r="E27" s="11">
        <f>10948202/1000</f>
        <v>10948.202</v>
      </c>
    </row>
    <row r="28" spans="3:5" ht="12.75">
      <c r="C28" s="19">
        <f>SUM(C24:C27)</f>
        <v>108267.502319</v>
      </c>
      <c r="D28" s="11"/>
      <c r="E28" s="19">
        <f>SUM(E24:E27)</f>
        <v>114389.28000000001</v>
      </c>
    </row>
    <row r="29" spans="3:5" ht="12.75">
      <c r="C29" s="11"/>
      <c r="D29" s="11"/>
      <c r="E29" s="11"/>
    </row>
    <row r="30" spans="1:5" ht="12.75">
      <c r="A30" s="1" t="s">
        <v>49</v>
      </c>
      <c r="C30" s="11">
        <f>+C22-C28</f>
        <v>106224.045941</v>
      </c>
      <c r="D30" s="11"/>
      <c r="E30" s="11">
        <f>+E22-+E28</f>
        <v>36342.61700000001</v>
      </c>
    </row>
    <row r="31" spans="3:5" ht="12.75">
      <c r="C31" s="11"/>
      <c r="D31" s="11"/>
      <c r="E31" s="11"/>
    </row>
    <row r="32" spans="3:5" s="1" customFormat="1" ht="13.5" thickBot="1">
      <c r="C32" s="23">
        <f>+C30+SUM(C9:C14)</f>
        <v>112637.436481</v>
      </c>
      <c r="D32" s="36"/>
      <c r="E32" s="23">
        <f>+E30+SUM(E9:E14)</f>
        <v>68725.85500000001</v>
      </c>
    </row>
    <row r="33" spans="2:5" ht="13.5" thickTop="1">
      <c r="B33" s="3" t="s">
        <v>0</v>
      </c>
      <c r="C33" s="11" t="s">
        <v>0</v>
      </c>
      <c r="D33" s="11"/>
      <c r="E33" s="11"/>
    </row>
    <row r="34" spans="1:5" ht="12.75">
      <c r="A34" s="3" t="s">
        <v>12</v>
      </c>
      <c r="C34" s="11">
        <f>+'[4]bs line-up'!$R$9/1000</f>
        <v>51489.646</v>
      </c>
      <c r="D34" s="11"/>
      <c r="E34" s="11">
        <f>51477446/1000</f>
        <v>51477.446</v>
      </c>
    </row>
    <row r="35" spans="1:5" ht="12.75">
      <c r="A35" s="3" t="s">
        <v>13</v>
      </c>
      <c r="C35" s="11" t="s">
        <v>0</v>
      </c>
      <c r="D35" s="11"/>
      <c r="E35" s="11"/>
    </row>
    <row r="36" spans="2:5" ht="12.75">
      <c r="B36" s="3" t="s">
        <v>14</v>
      </c>
      <c r="C36" s="11">
        <f>+'[4]bs line-up'!$R$10/1000-1</f>
        <v>9389.62623</v>
      </c>
      <c r="D36" s="11"/>
      <c r="E36" s="11">
        <f>9388308/1000</f>
        <v>9388.308</v>
      </c>
    </row>
    <row r="37" spans="2:5" ht="12.75">
      <c r="B37" s="3" t="s">
        <v>141</v>
      </c>
      <c r="C37" s="11">
        <f>+'[4]bs line-up'!$R$11/1000</f>
        <v>7019.6517</v>
      </c>
      <c r="D37" s="11"/>
      <c r="E37" s="11">
        <f>7019652/1000</f>
        <v>7019.652</v>
      </c>
    </row>
    <row r="38" spans="2:5" ht="12.75">
      <c r="B38" s="3" t="s">
        <v>15</v>
      </c>
      <c r="C38" s="11">
        <f>+'[4]bs line-up'!$R$13/1000</f>
        <v>135.04015967941285</v>
      </c>
      <c r="D38" s="11"/>
      <c r="E38" s="11">
        <f>-6065078/1000</f>
        <v>-6065.078</v>
      </c>
    </row>
    <row r="39" spans="2:5" ht="12.75">
      <c r="B39" s="3" t="s">
        <v>16</v>
      </c>
      <c r="C39" s="24">
        <f>+'[4]bs line-up'!$R$12/1000</f>
        <v>29.994</v>
      </c>
      <c r="D39" s="11"/>
      <c r="E39" s="24">
        <v>29.994</v>
      </c>
    </row>
    <row r="40" spans="1:5" ht="12.75">
      <c r="A40" s="3" t="s">
        <v>125</v>
      </c>
      <c r="C40" s="11">
        <f>SUM(C34:C39)+1</f>
        <v>68064.95808967942</v>
      </c>
      <c r="D40" s="11"/>
      <c r="E40" s="11">
        <f>SUM(E34:E39)</f>
        <v>61850.322</v>
      </c>
    </row>
    <row r="41" spans="1:5" ht="12.75">
      <c r="A41" s="3" t="s">
        <v>126</v>
      </c>
      <c r="C41" s="24">
        <f>+'[4]bs line-up'!$R$16/1000</f>
        <v>2769.591571320601</v>
      </c>
      <c r="D41" s="11"/>
      <c r="E41" s="24">
        <f>2168115/1000</f>
        <v>2168.115</v>
      </c>
    </row>
    <row r="42" spans="1:5" ht="12.75">
      <c r="A42" s="1" t="s">
        <v>127</v>
      </c>
      <c r="C42" s="11">
        <f>SUM(C40:C41)</f>
        <v>70834.54966100003</v>
      </c>
      <c r="D42" s="11"/>
      <c r="E42" s="11">
        <f>SUM(E40:E41)</f>
        <v>64018.437</v>
      </c>
    </row>
    <row r="43" spans="3:5" ht="12.75">
      <c r="C43" s="11"/>
      <c r="D43" s="11"/>
      <c r="E43" s="11"/>
    </row>
    <row r="44" spans="1:5" ht="12.75">
      <c r="A44" s="1" t="s">
        <v>22</v>
      </c>
      <c r="C44" s="11">
        <f>+'[4]bs line-up'!$R$20/1000-2</f>
        <v>727.785</v>
      </c>
      <c r="D44" s="11"/>
      <c r="E44" s="11">
        <f>1315143/1000</f>
        <v>1315.143</v>
      </c>
    </row>
    <row r="45" spans="1:5" ht="12.75">
      <c r="A45" s="1" t="s">
        <v>17</v>
      </c>
      <c r="C45" s="11">
        <f>+'[4]bs line-up'!$R$21/1000</f>
        <v>40999.60274</v>
      </c>
      <c r="D45" s="11"/>
      <c r="E45" s="11">
        <f>3318775/1000</f>
        <v>3318.775</v>
      </c>
    </row>
    <row r="46" spans="1:5" ht="12.75">
      <c r="A46" s="1" t="s">
        <v>73</v>
      </c>
      <c r="C46" s="11">
        <f>+'[4]bs line-up'!$R$19/1000+0.5</f>
        <v>73.99928999999999</v>
      </c>
      <c r="D46" s="11"/>
      <c r="E46" s="11">
        <f>73500/1000</f>
        <v>73.5</v>
      </c>
    </row>
    <row r="47" spans="3:5" ht="12.75">
      <c r="C47" s="11"/>
      <c r="D47" s="11"/>
      <c r="E47" s="11"/>
    </row>
    <row r="48" spans="3:5" s="1" customFormat="1" ht="13.5" thickBot="1">
      <c r="C48" s="23">
        <f>SUM(C42:C46)+1</f>
        <v>112636.93669100004</v>
      </c>
      <c r="D48" s="36"/>
      <c r="E48" s="23">
        <f>SUM(E42:E46)</f>
        <v>68725.855</v>
      </c>
    </row>
    <row r="49" spans="3:5" s="1" customFormat="1" ht="13.5" thickTop="1">
      <c r="C49" s="36"/>
      <c r="D49" s="36"/>
      <c r="E49" s="36"/>
    </row>
    <row r="50" spans="1:5" s="1" customFormat="1" ht="12.75">
      <c r="A50" s="1" t="s">
        <v>136</v>
      </c>
      <c r="C50" s="58">
        <f>(+C32-SUM(C44:C46)-C41)/C34</f>
        <v>1.3219445688105798</v>
      </c>
      <c r="D50" s="58"/>
      <c r="E50" s="58">
        <f>(+E32-SUM(E44:E46)-E41)/E34</f>
        <v>1.2015033146749357</v>
      </c>
    </row>
    <row r="51" spans="1:5" ht="12.75">
      <c r="A51" s="1" t="s">
        <v>137</v>
      </c>
      <c r="C51" s="59"/>
      <c r="D51" s="59"/>
      <c r="E51" s="59"/>
    </row>
    <row r="52" spans="1:5" ht="12.75">
      <c r="A52" s="1"/>
      <c r="C52" s="59"/>
      <c r="D52" s="59"/>
      <c r="E52" s="59"/>
    </row>
    <row r="53" spans="3:5" ht="12.75">
      <c r="C53" s="11"/>
      <c r="D53" s="11"/>
      <c r="E53" s="11"/>
    </row>
    <row r="54" s="12" customFormat="1" ht="12.75">
      <c r="A54" s="12" t="s">
        <v>76</v>
      </c>
    </row>
    <row r="55" s="12" customFormat="1" ht="12.75">
      <c r="A55" s="12" t="s">
        <v>150</v>
      </c>
    </row>
    <row r="56" ht="12.75">
      <c r="A56" s="41"/>
    </row>
    <row r="58" spans="3:5" ht="12.75">
      <c r="C58" s="11">
        <f>+C48-C32</f>
        <v>-0.4997899999580113</v>
      </c>
      <c r="D58" s="11"/>
      <c r="E58" s="11">
        <f>+E48-E32</f>
        <v>0</v>
      </c>
    </row>
  </sheetData>
  <printOptions/>
  <pageMargins left="0.67" right="0.19" top="1" bottom="0.75" header="0.5" footer="0.5"/>
  <pageSetup horizontalDpi="300" verticalDpi="300" orientation="portrait" paperSize="9" scale="94" r:id="rId1"/>
  <headerFooter alignWithMargins="0">
    <oddHeader>&amp;R2</oddHeader>
  </headerFooter>
  <rowBreaks count="1" manualBreakCount="1">
    <brk id="5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="75" zoomScaleSheetLayoutView="75" workbookViewId="0" topLeftCell="A2">
      <selection activeCell="B60" sqref="B60"/>
    </sheetView>
  </sheetViews>
  <sheetFormatPr defaultColWidth="9.140625" defaultRowHeight="12.75"/>
  <cols>
    <col min="1" max="1" width="2.7109375" style="3" customWidth="1"/>
    <col min="2" max="2" width="3.28125" style="3" customWidth="1"/>
    <col min="3" max="7" width="9.140625" style="3" customWidth="1"/>
    <col min="8" max="8" width="3.421875" style="3" customWidth="1"/>
    <col min="9" max="9" width="5.421875" style="3" customWidth="1"/>
    <col min="10" max="10" width="7.140625" style="3" customWidth="1"/>
    <col min="11" max="11" width="13.00390625" style="3" customWidth="1"/>
    <col min="12" max="12" width="1.421875" style="3" customWidth="1"/>
    <col min="13" max="13" width="11.7109375" style="3" customWidth="1"/>
    <col min="14" max="14" width="5.57421875" style="3" customWidth="1"/>
    <col min="15" max="16384" width="9.140625" style="3" customWidth="1"/>
  </cols>
  <sheetData>
    <row r="1" ht="15.75">
      <c r="A1" s="2" t="s">
        <v>9</v>
      </c>
    </row>
    <row r="2" ht="15.75">
      <c r="A2" s="2" t="s">
        <v>68</v>
      </c>
    </row>
    <row r="3" ht="15.75">
      <c r="A3" s="2" t="s">
        <v>161</v>
      </c>
    </row>
    <row r="4" ht="12.75">
      <c r="A4" s="1"/>
    </row>
    <row r="5" spans="11:13" ht="12.75">
      <c r="K5" s="67">
        <v>39263</v>
      </c>
      <c r="M5" s="54" t="s">
        <v>159</v>
      </c>
    </row>
    <row r="6" spans="11:13" ht="12.75">
      <c r="K6" s="8" t="s">
        <v>44</v>
      </c>
      <c r="M6" s="8" t="s">
        <v>44</v>
      </c>
    </row>
    <row r="7" ht="12.75">
      <c r="K7" s="51"/>
    </row>
    <row r="8" spans="1:11" ht="12.75">
      <c r="A8" s="1" t="s">
        <v>59</v>
      </c>
      <c r="K8" s="47"/>
    </row>
    <row r="9" spans="2:13" ht="12.75">
      <c r="B9" s="3" t="s">
        <v>98</v>
      </c>
      <c r="K9" s="47">
        <f>+'[3]MPB-QR '!$I$9</f>
        <v>10819.99642</v>
      </c>
      <c r="M9" s="47">
        <v>-2203</v>
      </c>
    </row>
    <row r="10" spans="11:13" ht="12.75">
      <c r="K10" s="47"/>
      <c r="M10" s="47"/>
    </row>
    <row r="11" spans="2:13" ht="12.75">
      <c r="B11" s="3" t="s">
        <v>77</v>
      </c>
      <c r="K11" s="47"/>
      <c r="M11" s="47"/>
    </row>
    <row r="12" spans="3:13" ht="12.75">
      <c r="C12" s="3" t="s">
        <v>78</v>
      </c>
      <c r="K12" s="47">
        <f>+'[3]MPB-QR '!$I$12</f>
        <v>510.46359</v>
      </c>
      <c r="M12" s="47">
        <v>549</v>
      </c>
    </row>
    <row r="13" spans="3:13" ht="12.75">
      <c r="C13" s="3" t="s">
        <v>79</v>
      </c>
      <c r="K13" s="47">
        <f>+'[3]MPB-QR '!$I$13</f>
        <v>0</v>
      </c>
      <c r="M13" s="47">
        <v>-9</v>
      </c>
    </row>
    <row r="14" spans="3:13" ht="12.75">
      <c r="C14" s="3" t="s">
        <v>135</v>
      </c>
      <c r="K14" s="47">
        <v>0</v>
      </c>
      <c r="M14" s="47">
        <v>-3006</v>
      </c>
    </row>
    <row r="15" spans="3:13" ht="12.75" hidden="1">
      <c r="C15" s="3" t="s">
        <v>149</v>
      </c>
      <c r="K15" s="47">
        <v>0</v>
      </c>
      <c r="M15" s="47"/>
    </row>
    <row r="16" spans="3:13" ht="12.75">
      <c r="C16" s="3" t="s">
        <v>60</v>
      </c>
      <c r="K16" s="47">
        <f>+'[3]MPB-QR '!$I$18</f>
        <v>-57.81743</v>
      </c>
      <c r="M16" s="47">
        <v>-29</v>
      </c>
    </row>
    <row r="17" spans="3:13" ht="12.75">
      <c r="C17" s="3" t="s">
        <v>80</v>
      </c>
      <c r="K17" s="24">
        <f>+'[3]MPB-QR '!$I$19</f>
        <v>233.61002000000002</v>
      </c>
      <c r="L17" s="12"/>
      <c r="M17" s="24">
        <v>799</v>
      </c>
    </row>
    <row r="18" spans="3:13" ht="12.75" hidden="1">
      <c r="C18" s="3" t="s">
        <v>111</v>
      </c>
      <c r="K18" s="52">
        <v>0</v>
      </c>
      <c r="M18" s="47">
        <v>0</v>
      </c>
    </row>
    <row r="19" spans="3:13" ht="12.75" hidden="1">
      <c r="C19" s="3" t="s">
        <v>75</v>
      </c>
      <c r="K19" s="52">
        <v>0</v>
      </c>
      <c r="M19" s="47">
        <v>0</v>
      </c>
    </row>
    <row r="20" spans="3:13" ht="12.75" hidden="1">
      <c r="C20" s="3" t="s">
        <v>81</v>
      </c>
      <c r="K20" s="37">
        <v>0</v>
      </c>
      <c r="L20" s="12"/>
      <c r="M20" s="11">
        <v>0</v>
      </c>
    </row>
    <row r="21" spans="11:13" ht="12.75">
      <c r="K21" s="11"/>
      <c r="M21" s="11"/>
    </row>
    <row r="22" spans="2:13" ht="12.75">
      <c r="B22" s="3" t="s">
        <v>104</v>
      </c>
      <c r="K22" s="37">
        <f>SUM(K9:K21)</f>
        <v>11506.2526</v>
      </c>
      <c r="L22" s="48"/>
      <c r="M22" s="37">
        <f>SUM(M9:M21)-1</f>
        <v>-3900</v>
      </c>
    </row>
    <row r="23" spans="11:13" ht="12.75">
      <c r="K23" s="47"/>
      <c r="M23" s="47"/>
    </row>
    <row r="24" spans="2:13" ht="12.75">
      <c r="B24" s="3" t="s">
        <v>97</v>
      </c>
      <c r="K24" s="47"/>
      <c r="M24" s="47"/>
    </row>
    <row r="25" spans="3:13" ht="12.75">
      <c r="C25" s="3" t="s">
        <v>23</v>
      </c>
      <c r="K25" s="11">
        <f>+'[3]MPB-QR '!$I$28</f>
        <v>0</v>
      </c>
      <c r="L25" s="12"/>
      <c r="M25" s="11">
        <v>-4526</v>
      </c>
    </row>
    <row r="26" spans="3:13" ht="12.75">
      <c r="C26" s="3" t="s">
        <v>82</v>
      </c>
      <c r="K26" s="11">
        <f>+'[3]MPB-QR '!$I$29</f>
        <v>-8541.153</v>
      </c>
      <c r="L26" s="12"/>
      <c r="M26" s="11">
        <v>-212</v>
      </c>
    </row>
    <row r="27" spans="3:13" ht="12.75">
      <c r="C27" s="3" t="s">
        <v>66</v>
      </c>
      <c r="K27" s="37">
        <f>+'[3]MPB-QR '!$I$30</f>
        <v>-50306.01054</v>
      </c>
      <c r="L27" s="12"/>
      <c r="M27" s="37">
        <v>-3467</v>
      </c>
    </row>
    <row r="28" spans="3:13" ht="12.75" hidden="1">
      <c r="C28" s="3" t="s">
        <v>106</v>
      </c>
      <c r="K28" s="37">
        <v>0</v>
      </c>
      <c r="L28" s="12"/>
      <c r="M28" s="11">
        <v>0</v>
      </c>
    </row>
    <row r="29" spans="3:13" ht="12.75">
      <c r="C29" s="3" t="s">
        <v>83</v>
      </c>
      <c r="K29" s="11">
        <f>+'[3]MPB-QR '!$I$31</f>
        <v>-1630.0605600000001</v>
      </c>
      <c r="L29" s="12"/>
      <c r="M29" s="11">
        <v>9243</v>
      </c>
    </row>
    <row r="30" spans="3:13" ht="12.75">
      <c r="C30" s="3" t="s">
        <v>84</v>
      </c>
      <c r="K30" s="24">
        <f>+'[3]MPB-QR '!$I$32</f>
        <v>28529.66344</v>
      </c>
      <c r="L30" s="12"/>
      <c r="M30" s="24">
        <v>-6405</v>
      </c>
    </row>
    <row r="31" spans="3:13" ht="12.75" hidden="1">
      <c r="C31" s="3" t="s">
        <v>67</v>
      </c>
      <c r="K31" s="24">
        <f>+'[2]group'!$T$26/1000</f>
        <v>0</v>
      </c>
      <c r="L31" s="12"/>
      <c r="M31" s="24">
        <v>0</v>
      </c>
    </row>
    <row r="32" spans="3:13" ht="12.75" hidden="1">
      <c r="C32" s="3" t="s">
        <v>88</v>
      </c>
      <c r="K32" s="11">
        <v>0</v>
      </c>
      <c r="L32" s="12"/>
      <c r="M32" s="11">
        <v>0</v>
      </c>
    </row>
    <row r="33" spans="3:13" ht="12.75" hidden="1">
      <c r="C33" s="3" t="s">
        <v>67</v>
      </c>
      <c r="K33" s="24">
        <v>0</v>
      </c>
      <c r="L33" s="12"/>
      <c r="M33" s="24">
        <v>0</v>
      </c>
    </row>
    <row r="34" spans="11:13" ht="12.75">
      <c r="K34" s="11">
        <f>SUM(K25:K33)+1</f>
        <v>-31946.56066</v>
      </c>
      <c r="L34" s="12"/>
      <c r="M34" s="11">
        <f>SUM(M25:M33)+1</f>
        <v>-5366</v>
      </c>
    </row>
    <row r="35" spans="11:13" ht="12.75">
      <c r="K35" s="11"/>
      <c r="M35" s="11"/>
    </row>
    <row r="36" spans="2:13" ht="12.75">
      <c r="B36" s="3" t="s">
        <v>99</v>
      </c>
      <c r="K36" s="47">
        <f>+K22+K34-1</f>
        <v>-20441.30806</v>
      </c>
      <c r="M36" s="47">
        <f>+M22+M34</f>
        <v>-9266</v>
      </c>
    </row>
    <row r="37" spans="11:13" ht="12.75">
      <c r="K37" s="47"/>
      <c r="M37" s="47"/>
    </row>
    <row r="38" spans="3:13" ht="12.75">
      <c r="C38" s="3" t="s">
        <v>85</v>
      </c>
      <c r="K38" s="11">
        <f>+'[3]MPB-QR '!$I$38</f>
        <v>-40.049</v>
      </c>
      <c r="L38" s="12"/>
      <c r="M38" s="11">
        <v>123</v>
      </c>
    </row>
    <row r="39" spans="3:13" ht="12.75">
      <c r="C39" s="3" t="s">
        <v>61</v>
      </c>
      <c r="K39" s="37">
        <f>+'[3]MPB-QR '!$I$39</f>
        <v>57.81743</v>
      </c>
      <c r="L39" s="12"/>
      <c r="M39" s="11">
        <v>29</v>
      </c>
    </row>
    <row r="40" spans="3:13" ht="12.75">
      <c r="C40" s="3" t="s">
        <v>62</v>
      </c>
      <c r="K40" s="39">
        <f>+'[3]MPB-QR '!$I$40</f>
        <v>-233.61002000000002</v>
      </c>
      <c r="L40" s="12"/>
      <c r="M40" s="24">
        <v>-799</v>
      </c>
    </row>
    <row r="41" spans="11:13" ht="12.75">
      <c r="K41" s="11">
        <f>SUM(K38:K40)</f>
        <v>-215.84159000000002</v>
      </c>
      <c r="L41" s="12"/>
      <c r="M41" s="11">
        <f>SUM(M38:M40)</f>
        <v>-647</v>
      </c>
    </row>
    <row r="42" spans="11:13" ht="12.75">
      <c r="K42" s="47"/>
      <c r="M42" s="11"/>
    </row>
    <row r="43" spans="2:13" ht="12.75">
      <c r="B43" s="3" t="s">
        <v>100</v>
      </c>
      <c r="K43" s="24">
        <f>+K36+K41</f>
        <v>-20657.14965</v>
      </c>
      <c r="M43" s="24">
        <f>+M36+M41</f>
        <v>-9913</v>
      </c>
    </row>
    <row r="44" spans="11:13" ht="12.75">
      <c r="K44" s="11"/>
      <c r="M44" s="11"/>
    </row>
    <row r="45" spans="2:13" ht="12.75">
      <c r="B45" s="1" t="s">
        <v>63</v>
      </c>
      <c r="K45" s="47"/>
      <c r="M45" s="47"/>
    </row>
    <row r="46" spans="3:13" ht="12.75">
      <c r="C46" s="3" t="s">
        <v>64</v>
      </c>
      <c r="K46" s="47">
        <f>+'[3]MPB-QR '!$I$46</f>
        <v>-525.546</v>
      </c>
      <c r="M46" s="47">
        <v>-107</v>
      </c>
    </row>
    <row r="47" spans="3:13" ht="12.75">
      <c r="C47" s="3" t="s">
        <v>128</v>
      </c>
      <c r="K47" s="47">
        <f>+'[3]MPB-QR '!$I$48</f>
        <v>0</v>
      </c>
      <c r="M47" s="47">
        <v>5610</v>
      </c>
    </row>
    <row r="48" spans="3:13" ht="12.75" hidden="1">
      <c r="C48" s="3" t="s">
        <v>151</v>
      </c>
      <c r="K48" s="47">
        <v>0</v>
      </c>
      <c r="M48" s="47">
        <v>0</v>
      </c>
    </row>
    <row r="49" spans="3:13" ht="12.75">
      <c r="C49" s="3" t="s">
        <v>87</v>
      </c>
      <c r="K49" s="24">
        <f>+'[3]MPB-QR '!$I$50</f>
        <v>0</v>
      </c>
      <c r="M49" s="24">
        <v>40</v>
      </c>
    </row>
    <row r="50" spans="3:13" ht="12.75" hidden="1">
      <c r="C50" s="55" t="s">
        <v>88</v>
      </c>
      <c r="D50" s="55"/>
      <c r="E50" s="55"/>
      <c r="F50" s="55"/>
      <c r="G50" s="55"/>
      <c r="H50" s="55"/>
      <c r="I50" s="55"/>
      <c r="J50" s="55"/>
      <c r="K50" s="56">
        <v>0</v>
      </c>
      <c r="L50" s="55">
        <v>0</v>
      </c>
      <c r="M50" s="57">
        <v>0</v>
      </c>
    </row>
    <row r="52" spans="2:13" ht="12.75">
      <c r="B52" s="3" t="s">
        <v>101</v>
      </c>
      <c r="K52" s="11">
        <f>SUM(K46:K51)</f>
        <v>-525.546</v>
      </c>
      <c r="M52" s="11">
        <f>SUM(M46:M51)</f>
        <v>5543</v>
      </c>
    </row>
    <row r="53" spans="11:13" ht="12.75">
      <c r="K53" s="47"/>
      <c r="M53" s="47"/>
    </row>
    <row r="54" spans="2:13" ht="12.75">
      <c r="B54" s="1" t="s">
        <v>65</v>
      </c>
      <c r="K54" s="47"/>
      <c r="M54" s="47"/>
    </row>
    <row r="55" spans="3:13" ht="12.75">
      <c r="C55" s="3" t="s">
        <v>109</v>
      </c>
      <c r="K55" s="47">
        <f>+'[3]MPB-QR '!$I$55</f>
        <v>-145.90308999999996</v>
      </c>
      <c r="M55" s="47">
        <v>-174</v>
      </c>
    </row>
    <row r="56" spans="3:13" ht="12.75">
      <c r="C56" s="3" t="s">
        <v>110</v>
      </c>
      <c r="K56" s="47">
        <f>+'[3]MPB-QR '!$I$56</f>
        <v>-14330.15663</v>
      </c>
      <c r="M56" s="47">
        <v>-4000</v>
      </c>
    </row>
    <row r="57" spans="3:13" ht="12.75" hidden="1">
      <c r="C57" s="3" t="s">
        <v>152</v>
      </c>
      <c r="K57" s="47">
        <f>+'[3]MPB-QR '!$I$57</f>
        <v>0</v>
      </c>
      <c r="M57" s="47">
        <v>0</v>
      </c>
    </row>
    <row r="58" spans="3:13" ht="12.75">
      <c r="C58" s="3" t="s">
        <v>108</v>
      </c>
      <c r="K58" s="47">
        <f>+'[3]MPB-QR '!$I$58</f>
        <v>41000</v>
      </c>
      <c r="M58" s="47">
        <v>11485</v>
      </c>
    </row>
    <row r="59" spans="3:13" ht="12.75">
      <c r="C59" s="3" t="s">
        <v>133</v>
      </c>
      <c r="K59" s="11">
        <f>+'[3]MPB-QR '!$I$59</f>
        <v>0</v>
      </c>
      <c r="L59" s="12"/>
      <c r="M59" s="11">
        <v>-279</v>
      </c>
    </row>
    <row r="60" spans="3:13" ht="12.75">
      <c r="C60" s="3" t="s">
        <v>89</v>
      </c>
      <c r="K60" s="24">
        <f>+'[3]MPB-QR '!$I$60</f>
        <v>14.518</v>
      </c>
      <c r="M60" s="24">
        <v>0</v>
      </c>
    </row>
    <row r="61" spans="3:13" ht="12.75" hidden="1">
      <c r="C61" s="3" t="s">
        <v>145</v>
      </c>
      <c r="K61" s="24">
        <f>+'[3]MPB-QR '!$I$61</f>
        <v>0</v>
      </c>
      <c r="M61" s="24">
        <v>0</v>
      </c>
    </row>
    <row r="62" spans="11:13" ht="12.75">
      <c r="K62" s="47"/>
      <c r="M62" s="47"/>
    </row>
    <row r="63" spans="2:13" ht="12.75">
      <c r="B63" s="3" t="s">
        <v>102</v>
      </c>
      <c r="K63" s="11">
        <f>SUM(K55:K62)+1</f>
        <v>26539.458280000003</v>
      </c>
      <c r="L63" s="12"/>
      <c r="M63" s="11">
        <f>SUM(M55:M62)-1</f>
        <v>7031</v>
      </c>
    </row>
    <row r="64" spans="11:13" ht="12.75">
      <c r="K64" s="47"/>
      <c r="M64" s="47"/>
    </row>
    <row r="65" spans="2:13" ht="12.75">
      <c r="B65" s="1" t="s">
        <v>105</v>
      </c>
      <c r="K65" s="47"/>
      <c r="M65" s="47"/>
    </row>
    <row r="66" spans="2:13" ht="12.75">
      <c r="B66" s="1" t="s">
        <v>90</v>
      </c>
      <c r="K66" s="47">
        <f>+K43+K52+K63-1</f>
        <v>5355.762630000005</v>
      </c>
      <c r="M66" s="47">
        <f>+M43+M52+M63</f>
        <v>2661</v>
      </c>
    </row>
    <row r="67" spans="2:13" ht="12.75">
      <c r="B67" s="1"/>
      <c r="K67" s="47"/>
      <c r="M67" s="47"/>
    </row>
    <row r="68" spans="2:13" ht="12.75">
      <c r="B68" s="1" t="s">
        <v>91</v>
      </c>
      <c r="K68" s="47"/>
      <c r="M68" s="47"/>
    </row>
    <row r="69" spans="2:13" ht="12.75">
      <c r="B69" s="1" t="s">
        <v>90</v>
      </c>
      <c r="K69" s="52">
        <f>+'[3]MPB-QR '!$I$69-1</f>
        <v>1715.7033100000006</v>
      </c>
      <c r="M69" s="47">
        <v>-9107</v>
      </c>
    </row>
    <row r="70" spans="2:13" ht="12.75">
      <c r="B70" s="1"/>
      <c r="K70" s="47"/>
      <c r="M70" s="47"/>
    </row>
    <row r="71" spans="2:13" ht="12.75">
      <c r="B71" s="1" t="s">
        <v>92</v>
      </c>
      <c r="K71" s="47"/>
      <c r="M71" s="47"/>
    </row>
    <row r="72" spans="2:13" ht="13.5" thickBot="1">
      <c r="B72" s="1" t="s">
        <v>90</v>
      </c>
      <c r="K72" s="50">
        <f>SUM(K66:K69)+1</f>
        <v>7072.4659400000055</v>
      </c>
      <c r="M72" s="50">
        <f>SUM(M66:M69)-1</f>
        <v>-6447</v>
      </c>
    </row>
    <row r="73" spans="11:13" ht="12.75">
      <c r="K73" s="47"/>
      <c r="M73" s="47"/>
    </row>
    <row r="74" spans="11:13" ht="12.75">
      <c r="K74" s="47"/>
      <c r="M74" s="47"/>
    </row>
    <row r="75" spans="2:13" ht="12.75">
      <c r="B75" s="3" t="s">
        <v>93</v>
      </c>
      <c r="K75" s="47"/>
      <c r="M75" s="47"/>
    </row>
    <row r="76" spans="3:13" ht="12.75">
      <c r="C76" s="3" t="s">
        <v>94</v>
      </c>
      <c r="K76" s="47">
        <f>+'[3]MPB-QR '!$I$76</f>
        <v>10712.41285</v>
      </c>
      <c r="M76" s="47">
        <v>2525</v>
      </c>
    </row>
    <row r="77" spans="3:13" ht="12.75">
      <c r="C77" s="3" t="s">
        <v>112</v>
      </c>
      <c r="K77" s="47">
        <f>+'[3]MPB-QR '!$I$77</f>
        <v>1430</v>
      </c>
      <c r="M77" s="47">
        <v>1430</v>
      </c>
    </row>
    <row r="78" spans="3:13" ht="12.75">
      <c r="C78" s="3" t="s">
        <v>95</v>
      </c>
      <c r="K78" s="47">
        <f>+'[3]MPB-QR '!$I$78</f>
        <v>0</v>
      </c>
      <c r="M78" s="47">
        <v>5855</v>
      </c>
    </row>
    <row r="79" spans="3:13" ht="12.75">
      <c r="C79" s="3" t="s">
        <v>96</v>
      </c>
      <c r="K79" s="47">
        <f>+'[3]MPB-QR '!$I$79</f>
        <v>-5069.946910000001</v>
      </c>
      <c r="M79" s="47">
        <v>-10402</v>
      </c>
    </row>
    <row r="80" spans="3:13" ht="12.75">
      <c r="C80" s="3" t="s">
        <v>113</v>
      </c>
      <c r="K80" s="47">
        <f>+-K78</f>
        <v>0</v>
      </c>
      <c r="M80" s="47">
        <f>-M78</f>
        <v>-5855</v>
      </c>
    </row>
    <row r="81" spans="11:13" ht="13.5" thickBot="1">
      <c r="K81" s="49">
        <f>SUM(K76:K80)</f>
        <v>7072.46594</v>
      </c>
      <c r="M81" s="50">
        <f>SUM(M76:M80)</f>
        <v>-6447</v>
      </c>
    </row>
    <row r="82" spans="11:13" ht="12.75">
      <c r="K82" s="42"/>
      <c r="M82" s="11"/>
    </row>
    <row r="83" spans="11:13" ht="12.75">
      <c r="K83" s="42"/>
      <c r="M83" s="11"/>
    </row>
    <row r="84" spans="1:13" ht="12.75">
      <c r="A84" s="12" t="s">
        <v>86</v>
      </c>
      <c r="M84" s="47"/>
    </row>
    <row r="85" spans="1:13" ht="12.75">
      <c r="A85" s="12" t="s">
        <v>150</v>
      </c>
      <c r="M85" s="47"/>
    </row>
    <row r="86" ht="12.75">
      <c r="M86" s="47"/>
    </row>
    <row r="87" spans="11:13" ht="12.75">
      <c r="K87" s="66">
        <f>+K72-K81</f>
        <v>0</v>
      </c>
      <c r="L87" s="53">
        <f>L72-L81</f>
        <v>0</v>
      </c>
      <c r="M87" s="53">
        <f>M72-M81</f>
        <v>0</v>
      </c>
    </row>
  </sheetData>
  <printOptions/>
  <pageMargins left="0.984251968503937" right="0.11811023622047245" top="0.7086614173228347" bottom="0.31496062992125984" header="0.5118110236220472" footer="0.5118110236220472"/>
  <pageSetup firstPageNumber="3" useFirstPageNumber="1" horizontalDpi="300" verticalDpi="300" orientation="portrait" paperSize="9" scale="8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view="pageBreakPreview" zoomScale="75" zoomScaleNormal="75" zoomScaleSheetLayoutView="75" workbookViewId="0" topLeftCell="D10">
      <selection activeCell="B60" sqref="B60"/>
    </sheetView>
  </sheetViews>
  <sheetFormatPr defaultColWidth="9.140625" defaultRowHeight="12.75"/>
  <cols>
    <col min="1" max="1" width="16.00390625" style="3" customWidth="1"/>
    <col min="2" max="2" width="1.28515625" style="3" customWidth="1"/>
    <col min="3" max="3" width="21.57421875" style="3" customWidth="1"/>
    <col min="4" max="4" width="0.71875" style="3" customWidth="1"/>
    <col min="5" max="5" width="12.8515625" style="3" customWidth="1"/>
    <col min="6" max="6" width="0.9921875" style="3" customWidth="1"/>
    <col min="7" max="7" width="13.57421875" style="3" customWidth="1"/>
    <col min="8" max="8" width="0.71875" style="3" customWidth="1"/>
    <col min="9" max="9" width="13.421875" style="3" customWidth="1"/>
    <col min="10" max="10" width="0.71875" style="3" customWidth="1"/>
    <col min="11" max="11" width="13.7109375" style="3" customWidth="1"/>
    <col min="12" max="12" width="0.9921875" style="3" customWidth="1"/>
    <col min="13" max="13" width="13.57421875" style="3" customWidth="1"/>
    <col min="14" max="14" width="0.71875" style="3" customWidth="1"/>
    <col min="15" max="15" width="15.00390625" style="3" customWidth="1"/>
    <col min="16" max="16" width="0.9921875" style="3" customWidth="1"/>
    <col min="17" max="17" width="14.28125" style="3" customWidth="1"/>
    <col min="18" max="18" width="0.9921875" style="3" customWidth="1"/>
    <col min="19" max="19" width="13.57421875" style="3" customWidth="1"/>
    <col min="20" max="16384" width="9.140625" style="3" customWidth="1"/>
  </cols>
  <sheetData>
    <row r="1" spans="1:2" s="20" customFormat="1" ht="15.75">
      <c r="A1" s="2" t="s">
        <v>9</v>
      </c>
      <c r="B1" s="2"/>
    </row>
    <row r="2" spans="1:2" s="20" customFormat="1" ht="15.75">
      <c r="A2" s="2"/>
      <c r="B2" s="2"/>
    </row>
    <row r="3" spans="1:2" s="20" customFormat="1" ht="15.75">
      <c r="A3" s="2" t="s">
        <v>71</v>
      </c>
      <c r="B3" s="2"/>
    </row>
    <row r="4" spans="1:2" s="20" customFormat="1" ht="15.75">
      <c r="A4" s="2" t="s">
        <v>157</v>
      </c>
      <c r="B4" s="2"/>
    </row>
    <row r="5" spans="1:2" s="20" customFormat="1" ht="15.75">
      <c r="A5" s="2"/>
      <c r="B5" s="2"/>
    </row>
    <row r="6" spans="1:2" s="20" customFormat="1" ht="15.75">
      <c r="A6" s="2"/>
      <c r="B6" s="2"/>
    </row>
    <row r="7" spans="5:19" ht="12.75">
      <c r="E7" s="68" t="s">
        <v>138</v>
      </c>
      <c r="F7" s="68"/>
      <c r="G7" s="68"/>
      <c r="H7" s="68"/>
      <c r="I7" s="68"/>
      <c r="J7" s="68"/>
      <c r="K7" s="68"/>
      <c r="L7" s="68"/>
      <c r="M7" s="68"/>
      <c r="N7" s="68"/>
      <c r="O7" s="68"/>
      <c r="Q7" s="29" t="s">
        <v>123</v>
      </c>
      <c r="R7" s="30"/>
      <c r="S7" s="29" t="s">
        <v>35</v>
      </c>
    </row>
    <row r="8" spans="7:19" ht="12.75">
      <c r="G8" s="69" t="s">
        <v>139</v>
      </c>
      <c r="H8" s="69"/>
      <c r="I8" s="69"/>
      <c r="J8" s="69"/>
      <c r="K8" s="69"/>
      <c r="M8" s="65" t="s">
        <v>140</v>
      </c>
      <c r="Q8" s="29" t="s">
        <v>124</v>
      </c>
      <c r="R8" s="30"/>
      <c r="S8" s="29" t="s">
        <v>122</v>
      </c>
    </row>
    <row r="10" spans="5:16" s="28" customFormat="1" ht="12.75">
      <c r="E10" s="29" t="s">
        <v>50</v>
      </c>
      <c r="F10" s="29"/>
      <c r="G10" s="29" t="s">
        <v>50</v>
      </c>
      <c r="H10" s="29"/>
      <c r="I10" s="29" t="s">
        <v>143</v>
      </c>
      <c r="J10" s="29"/>
      <c r="K10" s="29" t="s">
        <v>51</v>
      </c>
      <c r="L10" s="29"/>
      <c r="M10" s="29" t="s">
        <v>52</v>
      </c>
      <c r="N10" s="30"/>
      <c r="O10" s="29" t="s">
        <v>121</v>
      </c>
      <c r="P10" s="30"/>
    </row>
    <row r="11" spans="5:16" s="28" customFormat="1" ht="12.75">
      <c r="E11" s="29" t="s">
        <v>51</v>
      </c>
      <c r="F11" s="29"/>
      <c r="G11" s="29" t="s">
        <v>53</v>
      </c>
      <c r="H11" s="29"/>
      <c r="I11" s="29" t="s">
        <v>142</v>
      </c>
      <c r="J11" s="29"/>
      <c r="K11" s="29" t="s">
        <v>54</v>
      </c>
      <c r="L11" s="29"/>
      <c r="M11" s="29" t="s">
        <v>55</v>
      </c>
      <c r="N11" s="30"/>
      <c r="O11" s="29" t="s">
        <v>122</v>
      </c>
      <c r="P11" s="30"/>
    </row>
    <row r="12" spans="5:19" s="28" customFormat="1" ht="12.75">
      <c r="E12" s="30"/>
      <c r="F12" s="30"/>
      <c r="G12" s="30"/>
      <c r="H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3:19" s="28" customFormat="1" ht="12.75">
      <c r="C13" s="28" t="s">
        <v>107</v>
      </c>
      <c r="E13" s="29" t="s">
        <v>44</v>
      </c>
      <c r="F13" s="29"/>
      <c r="G13" s="29" t="s">
        <v>44</v>
      </c>
      <c r="H13" s="29"/>
      <c r="I13" s="29" t="s">
        <v>44</v>
      </c>
      <c r="J13" s="29"/>
      <c r="K13" s="29" t="s">
        <v>44</v>
      </c>
      <c r="L13" s="29"/>
      <c r="M13" s="29" t="s">
        <v>44</v>
      </c>
      <c r="N13" s="29"/>
      <c r="O13" s="29" t="s">
        <v>44</v>
      </c>
      <c r="P13" s="29"/>
      <c r="Q13" s="29" t="s">
        <v>44</v>
      </c>
      <c r="R13" s="29"/>
      <c r="S13" s="29" t="s">
        <v>44</v>
      </c>
    </row>
    <row r="14" s="28" customFormat="1" ht="12.75"/>
    <row r="15" spans="5:19" s="28" customFormat="1" ht="12.75">
      <c r="E15" s="33"/>
      <c r="F15" s="31"/>
      <c r="G15" s="33"/>
      <c r="H15" s="31"/>
      <c r="I15" s="31"/>
      <c r="J15" s="31"/>
      <c r="K15" s="33"/>
      <c r="L15" s="31"/>
      <c r="M15" s="33"/>
      <c r="N15" s="31"/>
      <c r="O15" s="33"/>
      <c r="P15" s="31"/>
      <c r="Q15" s="33"/>
      <c r="R15" s="31"/>
      <c r="S15" s="33"/>
    </row>
    <row r="16" spans="1:19" s="28" customFormat="1" ht="12.75">
      <c r="A16" s="28" t="s">
        <v>153</v>
      </c>
      <c r="E16" s="33">
        <v>51477</v>
      </c>
      <c r="F16" s="33"/>
      <c r="G16" s="33">
        <v>9388</v>
      </c>
      <c r="H16" s="33"/>
      <c r="I16" s="33">
        <v>7020</v>
      </c>
      <c r="J16" s="33"/>
      <c r="K16" s="33">
        <v>30</v>
      </c>
      <c r="L16" s="33"/>
      <c r="M16" s="33">
        <v>-6065</v>
      </c>
      <c r="N16" s="33"/>
      <c r="O16" s="31">
        <f aca="true" t="shared" si="0" ref="O16:O21">SUM(E16:M16)</f>
        <v>61850</v>
      </c>
      <c r="P16" s="33"/>
      <c r="Q16" s="31">
        <f>2168</f>
        <v>2168</v>
      </c>
      <c r="R16" s="33"/>
      <c r="S16" s="31">
        <f>+O16+Q16</f>
        <v>64018</v>
      </c>
    </row>
    <row r="17" spans="1:19" s="28" customFormat="1" ht="12.75">
      <c r="A17" s="28" t="s">
        <v>56</v>
      </c>
      <c r="E17" s="31">
        <v>0</v>
      </c>
      <c r="F17" s="31"/>
      <c r="G17" s="31">
        <v>0</v>
      </c>
      <c r="H17" s="31"/>
      <c r="I17" s="31">
        <v>0</v>
      </c>
      <c r="J17" s="31"/>
      <c r="K17" s="31">
        <v>0</v>
      </c>
      <c r="L17" s="31"/>
      <c r="M17" s="31">
        <v>0</v>
      </c>
      <c r="N17" s="31"/>
      <c r="O17" s="31">
        <f t="shared" si="0"/>
        <v>0</v>
      </c>
      <c r="P17" s="31"/>
      <c r="Q17" s="31">
        <f>SUM(G17:O17)</f>
        <v>0</v>
      </c>
      <c r="R17" s="31"/>
      <c r="S17" s="31">
        <f>+O17+Q17</f>
        <v>0</v>
      </c>
    </row>
    <row r="18" spans="1:19" s="28" customFormat="1" ht="12.75">
      <c r="A18" s="28" t="s">
        <v>58</v>
      </c>
      <c r="E18" s="31">
        <v>0</v>
      </c>
      <c r="F18" s="31"/>
      <c r="G18" s="31">
        <v>0</v>
      </c>
      <c r="H18" s="31"/>
      <c r="I18" s="31">
        <v>0</v>
      </c>
      <c r="J18" s="31"/>
      <c r="K18" s="31">
        <v>0</v>
      </c>
      <c r="L18" s="31"/>
      <c r="M18" s="31">
        <v>0</v>
      </c>
      <c r="N18" s="31"/>
      <c r="O18" s="31">
        <f t="shared" si="0"/>
        <v>0</v>
      </c>
      <c r="P18" s="31"/>
      <c r="Q18" s="31">
        <f>SUM(G18:O18)</f>
        <v>0</v>
      </c>
      <c r="R18" s="31"/>
      <c r="S18" s="31">
        <f>+O18+Q18</f>
        <v>0</v>
      </c>
    </row>
    <row r="19" spans="1:19" s="28" customFormat="1" ht="12.75">
      <c r="A19" s="28" t="s">
        <v>70</v>
      </c>
      <c r="E19" s="31">
        <v>13</v>
      </c>
      <c r="F19" s="31"/>
      <c r="G19" s="31">
        <v>2</v>
      </c>
      <c r="H19" s="31"/>
      <c r="I19" s="31">
        <v>0</v>
      </c>
      <c r="J19" s="31"/>
      <c r="K19" s="31">
        <v>0</v>
      </c>
      <c r="L19" s="31"/>
      <c r="M19" s="31">
        <v>0</v>
      </c>
      <c r="N19" s="31"/>
      <c r="O19" s="31">
        <f t="shared" si="0"/>
        <v>15</v>
      </c>
      <c r="P19" s="31"/>
      <c r="Q19" s="31"/>
      <c r="R19" s="31"/>
      <c r="S19" s="31">
        <f>+O19+Q19</f>
        <v>15</v>
      </c>
    </row>
    <row r="20" spans="1:19" s="28" customFormat="1" ht="12.75">
      <c r="A20" s="28" t="s">
        <v>144</v>
      </c>
      <c r="E20" s="31">
        <v>0</v>
      </c>
      <c r="F20" s="31"/>
      <c r="G20" s="31">
        <v>0</v>
      </c>
      <c r="H20" s="31"/>
      <c r="I20" s="31">
        <v>0</v>
      </c>
      <c r="J20" s="31"/>
      <c r="K20" s="31">
        <v>0</v>
      </c>
      <c r="L20" s="31"/>
      <c r="M20" s="31">
        <v>0</v>
      </c>
      <c r="N20" s="31"/>
      <c r="O20" s="31">
        <f t="shared" si="0"/>
        <v>0</v>
      </c>
      <c r="P20" s="31"/>
      <c r="Q20" s="31">
        <v>0</v>
      </c>
      <c r="R20" s="31"/>
      <c r="S20" s="31">
        <f>+O20+Q20</f>
        <v>0</v>
      </c>
    </row>
    <row r="21" spans="1:19" s="28" customFormat="1" ht="12.75">
      <c r="A21" s="28" t="s">
        <v>114</v>
      </c>
      <c r="E21" s="32">
        <v>0</v>
      </c>
      <c r="F21" s="31"/>
      <c r="G21" s="32">
        <v>0</v>
      </c>
      <c r="H21" s="31"/>
      <c r="I21" s="32">
        <v>0</v>
      </c>
      <c r="J21" s="31"/>
      <c r="K21" s="32">
        <v>0</v>
      </c>
      <c r="L21" s="31"/>
      <c r="M21" s="63">
        <f>+'P&amp;L'!F39</f>
        <v>6200.116645679404</v>
      </c>
      <c r="N21" s="31"/>
      <c r="O21" s="32">
        <f t="shared" si="0"/>
        <v>6200.116645679404</v>
      </c>
      <c r="P21" s="31"/>
      <c r="Q21" s="32">
        <f>-+'P&amp;L'!F40</f>
        <v>602.475305320601</v>
      </c>
      <c r="R21" s="31"/>
      <c r="S21" s="32">
        <f>+O21+Q21-1</f>
        <v>6801.591951000006</v>
      </c>
    </row>
    <row r="22" spans="5:19" s="28" customFormat="1" ht="12.75">
      <c r="E22" s="33"/>
      <c r="F22" s="31"/>
      <c r="G22" s="33"/>
      <c r="H22" s="31"/>
      <c r="I22" s="31"/>
      <c r="J22" s="31"/>
      <c r="K22" s="33"/>
      <c r="L22" s="31"/>
      <c r="M22" s="33"/>
      <c r="N22" s="31"/>
      <c r="O22" s="33"/>
      <c r="P22" s="31"/>
      <c r="Q22" s="33"/>
      <c r="R22" s="31"/>
      <c r="S22" s="33"/>
    </row>
    <row r="23" spans="1:19" s="28" customFormat="1" ht="13.5" thickBot="1">
      <c r="A23" s="28" t="s">
        <v>162</v>
      </c>
      <c r="E23" s="34">
        <f>SUM(E16:E21)</f>
        <v>51490</v>
      </c>
      <c r="F23" s="35"/>
      <c r="G23" s="34">
        <f>SUM(G16:G21)</f>
        <v>9390</v>
      </c>
      <c r="H23" s="35"/>
      <c r="I23" s="34">
        <f>SUM(I16:I21)</f>
        <v>7020</v>
      </c>
      <c r="J23" s="35"/>
      <c r="K23" s="34">
        <f>SUM(K16:K21)</f>
        <v>30</v>
      </c>
      <c r="L23" s="35"/>
      <c r="M23" s="34">
        <f>SUM(M16:M21)</f>
        <v>135.11664567940443</v>
      </c>
      <c r="N23" s="35"/>
      <c r="O23" s="34">
        <f>SUM(O16:O21)</f>
        <v>68065.1166456794</v>
      </c>
      <c r="P23" s="35"/>
      <c r="Q23" s="34">
        <f>SUM(Q16:Q21)</f>
        <v>2770.475305320601</v>
      </c>
      <c r="R23" s="35"/>
      <c r="S23" s="34">
        <f>SUM(S16:S21)</f>
        <v>70834.59195100001</v>
      </c>
    </row>
    <row r="24" spans="5:20" s="28" customFormat="1" ht="12.75">
      <c r="E24" s="43"/>
      <c r="F24" s="35"/>
      <c r="G24" s="43"/>
      <c r="H24" s="35"/>
      <c r="I24" s="35"/>
      <c r="J24" s="35"/>
      <c r="K24" s="43"/>
      <c r="L24" s="35"/>
      <c r="M24" s="43"/>
      <c r="N24" s="35"/>
      <c r="O24" s="43"/>
      <c r="P24" s="35"/>
      <c r="Q24" s="43"/>
      <c r="R24" s="35"/>
      <c r="S24" s="43"/>
      <c r="T24" s="31"/>
    </row>
    <row r="25" spans="5:19" s="28" customFormat="1" ht="12.75">
      <c r="E25" s="43"/>
      <c r="F25" s="35"/>
      <c r="G25" s="43"/>
      <c r="H25" s="35"/>
      <c r="I25" s="35"/>
      <c r="J25" s="35"/>
      <c r="K25" s="43"/>
      <c r="L25" s="35"/>
      <c r="M25" s="43"/>
      <c r="N25" s="35"/>
      <c r="O25" s="43"/>
      <c r="P25" s="35"/>
      <c r="Q25" s="43"/>
      <c r="R25" s="35"/>
      <c r="S25" s="43"/>
    </row>
    <row r="26" spans="5:19" s="28" customFormat="1" ht="12.75"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s="28" customFormat="1" ht="12.75">
      <c r="A27" s="28" t="s">
        <v>115</v>
      </c>
      <c r="E27" s="31">
        <v>46798</v>
      </c>
      <c r="F27" s="31"/>
      <c r="G27" s="31">
        <v>9388</v>
      </c>
      <c r="H27" s="31"/>
      <c r="I27" s="31">
        <v>0</v>
      </c>
      <c r="J27" s="31"/>
      <c r="K27" s="31">
        <v>30</v>
      </c>
      <c r="L27" s="31"/>
      <c r="M27" s="31">
        <v>-8861</v>
      </c>
      <c r="N27" s="31"/>
      <c r="O27" s="31">
        <f>SUM(E27:M27)</f>
        <v>47355</v>
      </c>
      <c r="P27" s="31"/>
      <c r="Q27" s="31">
        <v>1928</v>
      </c>
      <c r="R27" s="31"/>
      <c r="S27" s="31">
        <f>+O27+Q27</f>
        <v>49283</v>
      </c>
    </row>
    <row r="28" spans="1:19" s="28" customFormat="1" ht="12.75">
      <c r="A28" s="28" t="s">
        <v>56</v>
      </c>
      <c r="E28" s="31">
        <v>0</v>
      </c>
      <c r="F28" s="31"/>
      <c r="G28" s="31">
        <v>0</v>
      </c>
      <c r="H28" s="31"/>
      <c r="I28" s="31">
        <v>0</v>
      </c>
      <c r="J28" s="31"/>
      <c r="K28" s="31">
        <v>0</v>
      </c>
      <c r="L28" s="31"/>
      <c r="M28" s="31">
        <v>0</v>
      </c>
      <c r="N28" s="31"/>
      <c r="O28" s="33">
        <f>SUM(E28:M28)</f>
        <v>0</v>
      </c>
      <c r="P28" s="31"/>
      <c r="Q28" s="33">
        <f>SUM(G28:O28)</f>
        <v>0</v>
      </c>
      <c r="R28" s="31"/>
      <c r="S28" s="33">
        <f>SUM(K28:Q28)</f>
        <v>0</v>
      </c>
    </row>
    <row r="29" spans="1:19" s="28" customFormat="1" ht="12.75">
      <c r="A29" s="28" t="s">
        <v>58</v>
      </c>
      <c r="E29" s="31">
        <v>0</v>
      </c>
      <c r="F29" s="31"/>
      <c r="G29" s="31">
        <v>0</v>
      </c>
      <c r="H29" s="31"/>
      <c r="I29" s="31">
        <v>0</v>
      </c>
      <c r="J29" s="31"/>
      <c r="K29" s="31">
        <v>0</v>
      </c>
      <c r="L29" s="31"/>
      <c r="M29" s="31">
        <v>0</v>
      </c>
      <c r="N29" s="31"/>
      <c r="O29" s="33">
        <f>SUM(E29:M29)</f>
        <v>0</v>
      </c>
      <c r="P29" s="31"/>
      <c r="Q29" s="33">
        <f>SUM(G29:O29)</f>
        <v>0</v>
      </c>
      <c r="R29" s="31"/>
      <c r="S29" s="33">
        <f>SUM(K29:Q29)</f>
        <v>0</v>
      </c>
    </row>
    <row r="30" spans="1:19" s="28" customFormat="1" ht="12.75">
      <c r="A30" s="28" t="s">
        <v>70</v>
      </c>
      <c r="E30" s="31">
        <v>0</v>
      </c>
      <c r="F30" s="31"/>
      <c r="G30" s="31">
        <v>0</v>
      </c>
      <c r="H30" s="31"/>
      <c r="I30" s="31">
        <v>0</v>
      </c>
      <c r="J30" s="31"/>
      <c r="K30" s="31">
        <v>0</v>
      </c>
      <c r="L30" s="31"/>
      <c r="M30" s="31">
        <v>0</v>
      </c>
      <c r="N30" s="31"/>
      <c r="O30" s="31">
        <f>SUM(E30:M30)</f>
        <v>0</v>
      </c>
      <c r="P30" s="31"/>
      <c r="Q30" s="31">
        <v>0</v>
      </c>
      <c r="R30" s="31"/>
      <c r="S30" s="31">
        <f>+O30+Q30</f>
        <v>0</v>
      </c>
    </row>
    <row r="31" spans="1:19" s="28" customFormat="1" ht="12.75">
      <c r="A31" s="28" t="s">
        <v>57</v>
      </c>
      <c r="E31" s="32">
        <v>0</v>
      </c>
      <c r="F31" s="31"/>
      <c r="G31" s="32">
        <v>0</v>
      </c>
      <c r="H31" s="31"/>
      <c r="I31" s="32">
        <v>0</v>
      </c>
      <c r="J31" s="31"/>
      <c r="K31" s="32">
        <v>0</v>
      </c>
      <c r="L31" s="31"/>
      <c r="M31" s="32">
        <f>+'P&amp;L'!H39</f>
        <v>-2046</v>
      </c>
      <c r="N31" s="31"/>
      <c r="O31" s="32">
        <f>SUM(E31:M31)</f>
        <v>-2046</v>
      </c>
      <c r="P31" s="31"/>
      <c r="Q31" s="63">
        <f>-'P&amp;L'!H40</f>
        <v>-691</v>
      </c>
      <c r="R31" s="31"/>
      <c r="S31" s="32">
        <f>+O31+Q31</f>
        <v>-2737</v>
      </c>
    </row>
    <row r="32" spans="5:19" s="28" customFormat="1" ht="12.75">
      <c r="E32" s="33"/>
      <c r="F32" s="31"/>
      <c r="G32" s="33"/>
      <c r="H32" s="31"/>
      <c r="I32" s="31"/>
      <c r="J32" s="31"/>
      <c r="K32" s="33"/>
      <c r="L32" s="31"/>
      <c r="M32" s="33"/>
      <c r="N32" s="31"/>
      <c r="O32" s="33"/>
      <c r="P32" s="31"/>
      <c r="Q32" s="33"/>
      <c r="R32" s="31"/>
      <c r="S32" s="33"/>
    </row>
    <row r="33" spans="1:19" s="28" customFormat="1" ht="13.5" thickBot="1">
      <c r="A33" s="28" t="s">
        <v>163</v>
      </c>
      <c r="E33" s="34">
        <f>SUM(E27:E32)</f>
        <v>46798</v>
      </c>
      <c r="F33" s="43">
        <f aca="true" t="shared" si="1" ref="F33:L33">SUM(F27:F32)</f>
        <v>0</v>
      </c>
      <c r="G33" s="34">
        <f t="shared" si="1"/>
        <v>9388</v>
      </c>
      <c r="H33" s="43">
        <f t="shared" si="1"/>
        <v>0</v>
      </c>
      <c r="I33" s="34">
        <f t="shared" si="1"/>
        <v>0</v>
      </c>
      <c r="J33" s="43"/>
      <c r="K33" s="34">
        <f t="shared" si="1"/>
        <v>30</v>
      </c>
      <c r="L33" s="34">
        <f t="shared" si="1"/>
        <v>0</v>
      </c>
      <c r="M33" s="34">
        <f aca="true" t="shared" si="2" ref="M33:S33">SUM(M27:M32)</f>
        <v>-10907</v>
      </c>
      <c r="N33" s="43">
        <f t="shared" si="2"/>
        <v>0</v>
      </c>
      <c r="O33" s="34">
        <f t="shared" si="2"/>
        <v>45309</v>
      </c>
      <c r="P33" s="43">
        <f t="shared" si="2"/>
        <v>0</v>
      </c>
      <c r="Q33" s="34">
        <f t="shared" si="2"/>
        <v>1237</v>
      </c>
      <c r="R33" s="43">
        <f t="shared" si="2"/>
        <v>0</v>
      </c>
      <c r="S33" s="64">
        <f t="shared" si="2"/>
        <v>46546</v>
      </c>
    </row>
    <row r="34" spans="5:19" s="28" customFormat="1" ht="12.75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5:20" s="28" customFormat="1" ht="12.75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8">
        <v>49285</v>
      </c>
    </row>
    <row r="36" spans="1:20" ht="12.75">
      <c r="A36" s="40"/>
      <c r="B36" s="40"/>
      <c r="Q36" s="53"/>
      <c r="S36" s="53"/>
      <c r="T36" s="53">
        <f>+S33-T35</f>
        <v>-2739</v>
      </c>
    </row>
    <row r="37" spans="1:13" s="12" customFormat="1" ht="12.75">
      <c r="A37" s="12" t="s">
        <v>154</v>
      </c>
      <c r="M37" s="42"/>
    </row>
    <row r="38" spans="1:13" s="12" customFormat="1" ht="12.75">
      <c r="A38" s="12" t="s">
        <v>132</v>
      </c>
      <c r="M38" s="42"/>
    </row>
    <row r="39" spans="1:2" ht="12.75">
      <c r="A39" s="40"/>
      <c r="B39" s="40"/>
    </row>
    <row r="40" spans="1:2" ht="12.75">
      <c r="A40" s="40"/>
      <c r="B40" s="40"/>
    </row>
    <row r="41" spans="1:2" ht="12.75">
      <c r="A41" s="40"/>
      <c r="B41" s="40"/>
    </row>
    <row r="42" spans="1:2" ht="12.75">
      <c r="A42" s="40"/>
      <c r="B42" s="40"/>
    </row>
    <row r="43" spans="1:2" ht="12.75">
      <c r="A43" s="40"/>
      <c r="B43" s="40"/>
    </row>
    <row r="44" spans="1:2" ht="12.75">
      <c r="A44" s="40"/>
      <c r="B44" s="40"/>
    </row>
    <row r="45" spans="1:2" ht="12.75">
      <c r="A45" s="40"/>
      <c r="B45" s="40"/>
    </row>
  </sheetData>
  <mergeCells count="2">
    <mergeCell ref="E7:O7"/>
    <mergeCell ref="G8:K8"/>
  </mergeCells>
  <printOptions/>
  <pageMargins left="0.6692913385826772" right="0.5118110236220472" top="0.7874015748031497" bottom="0.984251968503937" header="0.5118110236220472" footer="0.5118110236220472"/>
  <pageSetup fitToHeight="1" fitToWidth="1" horizontalDpi="300" verticalDpi="300" orientation="landscape" paperSize="9" scale="87" r:id="rId1"/>
  <headerFooter alignWithMargins="0">
    <oddHeader>&amp;R4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1">
      <selection activeCell="E14" sqref="E14"/>
    </sheetView>
  </sheetViews>
  <sheetFormatPr defaultColWidth="9.140625" defaultRowHeight="12.75" customHeight="1"/>
  <cols>
    <col min="1" max="1" width="49.421875" style="20" customWidth="1"/>
    <col min="2" max="2" width="19.7109375" style="20" customWidth="1"/>
    <col min="3" max="3" width="2.7109375" style="20" customWidth="1"/>
    <col min="4" max="4" width="22.140625" style="20" customWidth="1"/>
    <col min="5" max="5" width="13.8515625" style="20" bestFit="1" customWidth="1"/>
    <col min="6" max="6" width="1.7109375" style="20" customWidth="1"/>
    <col min="7" max="7" width="15.7109375" style="20" bestFit="1" customWidth="1"/>
    <col min="8" max="8" width="1.8515625" style="20" customWidth="1"/>
    <col min="9" max="16384" width="4.140625" style="20" customWidth="1"/>
  </cols>
  <sheetData>
    <row r="1" ht="15.75">
      <c r="A1" s="2" t="s">
        <v>9</v>
      </c>
    </row>
    <row r="2" ht="15.75">
      <c r="A2" s="2"/>
    </row>
    <row r="3" ht="15.75">
      <c r="A3" s="2" t="s">
        <v>36</v>
      </c>
    </row>
    <row r="4" ht="15.75">
      <c r="A4" s="2" t="s">
        <v>25</v>
      </c>
    </row>
    <row r="5" spans="1:7" s="22" customFormat="1" ht="12.75" customHeight="1">
      <c r="A5" s="6"/>
      <c r="B5" s="6"/>
      <c r="C5" s="6"/>
      <c r="D5" s="6"/>
      <c r="E5" s="6"/>
      <c r="F5" s="6"/>
      <c r="G5" s="6"/>
    </row>
    <row r="6" spans="2:9" ht="12.75" customHeight="1">
      <c r="B6" s="4">
        <v>2002</v>
      </c>
      <c r="C6" s="4"/>
      <c r="D6" s="4">
        <v>2001</v>
      </c>
      <c r="E6" s="4"/>
      <c r="F6" s="4"/>
      <c r="G6" s="4"/>
      <c r="H6" s="5"/>
      <c r="I6" s="5"/>
    </row>
    <row r="8" spans="2:4" s="5" customFormat="1" ht="12.75" customHeight="1">
      <c r="B8" s="5" t="s">
        <v>37</v>
      </c>
      <c r="D8" s="5" t="s">
        <v>37</v>
      </c>
    </row>
    <row r="9" spans="2:4" s="5" customFormat="1" ht="12.75" customHeight="1">
      <c r="B9" s="5" t="s">
        <v>38</v>
      </c>
      <c r="D9" s="5" t="s">
        <v>38</v>
      </c>
    </row>
    <row r="10" spans="2:4" s="5" customFormat="1" ht="12.75" customHeight="1">
      <c r="B10" s="5" t="s">
        <v>26</v>
      </c>
      <c r="D10" s="5" t="s">
        <v>26</v>
      </c>
    </row>
    <row r="12" spans="1:4" ht="12.75" customHeight="1">
      <c r="A12" s="20" t="s">
        <v>39</v>
      </c>
      <c r="B12" s="25">
        <v>0</v>
      </c>
      <c r="C12" s="25"/>
      <c r="D12" s="25">
        <v>0</v>
      </c>
    </row>
    <row r="13" spans="1:4" ht="12.75" customHeight="1">
      <c r="A13" s="20" t="s">
        <v>40</v>
      </c>
      <c r="B13" s="25">
        <v>0</v>
      </c>
      <c r="C13" s="25"/>
      <c r="D13" s="25">
        <v>0</v>
      </c>
    </row>
    <row r="14" spans="2:4" ht="12.75" customHeight="1">
      <c r="B14" s="25"/>
      <c r="C14" s="25"/>
      <c r="D14" s="25"/>
    </row>
    <row r="15" spans="1:4" ht="12.75" customHeight="1">
      <c r="A15" s="20" t="s">
        <v>41</v>
      </c>
      <c r="B15" s="25">
        <v>0</v>
      </c>
      <c r="C15" s="25"/>
      <c r="D15" s="25">
        <v>0</v>
      </c>
    </row>
    <row r="16" spans="2:4" ht="12.75" customHeight="1">
      <c r="B16" s="25"/>
      <c r="C16" s="25"/>
      <c r="D16" s="25"/>
    </row>
    <row r="17" spans="1:4" ht="12.75" customHeight="1">
      <c r="A17" s="20" t="s">
        <v>42</v>
      </c>
      <c r="B17" s="25">
        <v>0</v>
      </c>
      <c r="C17" s="25"/>
      <c r="D17" s="25">
        <v>0</v>
      </c>
    </row>
    <row r="18" spans="2:4" ht="12.75" customHeight="1">
      <c r="B18" s="25"/>
      <c r="C18" s="25"/>
      <c r="D18" s="25"/>
    </row>
    <row r="19" spans="1:4" ht="12.75" customHeight="1">
      <c r="A19" s="20" t="s">
        <v>43</v>
      </c>
      <c r="B19" s="25">
        <v>0</v>
      </c>
      <c r="C19" s="25"/>
      <c r="D19" s="25">
        <v>0</v>
      </c>
    </row>
    <row r="20" spans="2:4" ht="12.75" customHeight="1">
      <c r="B20" s="25"/>
      <c r="C20" s="25"/>
      <c r="D20" s="25"/>
    </row>
    <row r="22" s="15" customFormat="1" ht="12.75">
      <c r="A22" s="15" t="s">
        <v>47</v>
      </c>
    </row>
    <row r="23" s="15" customFormat="1" ht="12.75">
      <c r="A23" s="15" t="s">
        <v>46</v>
      </c>
    </row>
    <row r="60" spans="5:7" ht="12.75" customHeight="1">
      <c r="E60" s="21"/>
      <c r="F60" s="21"/>
      <c r="G60" s="21"/>
    </row>
    <row r="61" spans="5:7" ht="12.75" customHeight="1">
      <c r="E61" s="21"/>
      <c r="F61" s="21"/>
      <c r="G61" s="21"/>
    </row>
  </sheetData>
  <printOptions horizontalCentered="1"/>
  <pageMargins left="0.5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Prima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 Prima Berhad</dc:creator>
  <cp:keywords/>
  <dc:description/>
  <cp:lastModifiedBy>MPB</cp:lastModifiedBy>
  <cp:lastPrinted>2007-08-15T06:19:52Z</cp:lastPrinted>
  <dcterms:created xsi:type="dcterms:W3CDTF">2002-05-19T06:20:37Z</dcterms:created>
  <dcterms:modified xsi:type="dcterms:W3CDTF">2007-08-15T06:20:46Z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-1091861654</vt:i4>
  </property>
  <property fmtid="{D5CDD505-2E9C-101B-9397-08002B2CF9AE}" pid="3" name="_EmailSubject">
    <vt:lpwstr>For Choy Kean - 1st Qtr</vt:lpwstr>
  </property>
  <property fmtid="{D5CDD505-2E9C-101B-9397-08002B2CF9AE}" pid="4" name="_AuthorEmail">
    <vt:lpwstr>saiful@magnaprima.com.my</vt:lpwstr>
  </property>
  <property fmtid="{D5CDD505-2E9C-101B-9397-08002B2CF9AE}" pid="5" name="_AuthorEmailDisplayName">
    <vt:lpwstr>saiful</vt:lpwstr>
  </property>
  <property fmtid="{D5CDD505-2E9C-101B-9397-08002B2CF9AE}" pid="6" name="_PreviousAdHocReviewCycleID">
    <vt:i4>383528047</vt:i4>
  </property>
  <property fmtid="{D5CDD505-2E9C-101B-9397-08002B2CF9AE}" pid="7" name="_ReviewingToolsShownOnce">
    <vt:lpwstr/>
  </property>
</Properties>
</file>